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3.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1"/>
  <workbookPr codeName="EstaPastaDeTrabalho"/>
  <mc:AlternateContent xmlns:mc="http://schemas.openxmlformats.org/markup-compatibility/2006">
    <mc:Choice Requires="x15">
      <x15ac:absPath xmlns:x15ac="http://schemas.microsoft.com/office/spreadsheetml/2010/11/ac" url="https://pfgovbr-my.sharepoint.com/personal/marisa_mm_pf_gov_br/Documents/Área de Trabalho/"/>
    </mc:Choice>
  </mc:AlternateContent>
  <xr:revisionPtr revIDLastSave="0" documentId="8_{C62F3348-FA6F-4E6D-B75A-B12061AFD138}" xr6:coauthVersionLast="36" xr6:coauthVersionMax="36" xr10:uidLastSave="{00000000-0000-0000-0000-000000000000}"/>
  <bookViews>
    <workbookView xWindow="0" yWindow="0" windowWidth="28800" windowHeight="10125" tabRatio="762" firstSheet="1" activeTab="9" xr2:uid="{00000000-000D-0000-FFFF-FFFF00000000}"/>
  </bookViews>
  <sheets>
    <sheet name="INÍCIO" sheetId="142" state="hidden" r:id="rId1"/>
    <sheet name="Dados - Composição PCFP" sheetId="76" r:id="rId2"/>
    <sheet name="BDI" sheetId="159" r:id="rId3"/>
    <sheet name="Uniformes e EPIs" sheetId="52" r:id="rId4"/>
    <sheet name="Ferramentas" sheetId="154" r:id="rId5"/>
    <sheet name="Equipamentos" sheetId="155" r:id="rId6"/>
    <sheet name="Materiais" sheetId="101" r:id="rId7"/>
    <sheet name="Serviços sob Demanda" sheetId="100" r:id="rId8"/>
    <sheet name="PCFP" sheetId="28" r:id="rId9"/>
    <sheet name="Modelo de Proposta" sheetId="158" r:id="rId10"/>
    <sheet name="Planilha2" sheetId="157" state="hidden" r:id="rId11"/>
    <sheet name="STS-Republica" sheetId="74" state="hidden" r:id="rId12"/>
    <sheet name="Memória de Cálculos" sheetId="141" r:id="rId13"/>
    <sheet name="Nr Empregados e Produtividade" sheetId="72" state="hidden" r:id="rId14"/>
  </sheets>
  <definedNames>
    <definedName name="_xlnm._FilterDatabase" localSheetId="1" hidden="1">'Dados - Composição PCFP'!$A$4:$O$40</definedName>
    <definedName name="_Ref172095982" localSheetId="9">'Modelo de Proposta'!$C$5</definedName>
    <definedName name="_xlnm.Print_Area" localSheetId="8">PCFP!$A$1:$K$119</definedName>
    <definedName name="SHARED_FORMULA_11_49_11_49_1">"[.K50]*[.$L$30]"</definedName>
    <definedName name="SHARED_FORMULA_11_65_11_65_1">"[.K66]*[.$L$30]"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159" l="1"/>
  <c r="I13" i="159"/>
  <c r="G48" i="158" l="1"/>
  <c r="F48" i="158"/>
  <c r="G25" i="52" l="1"/>
  <c r="Y23" i="76" l="1"/>
  <c r="AC162" i="28"/>
  <c r="AC143" i="28"/>
  <c r="AC163" i="28" s="1"/>
  <c r="AC142" i="28"/>
  <c r="AC117" i="28"/>
  <c r="AC95" i="28"/>
  <c r="AC94" i="28"/>
  <c r="AC89" i="28"/>
  <c r="AC10" i="28"/>
  <c r="AC11" i="28" s="1"/>
  <c r="AC14" i="28" s="1"/>
  <c r="AC7" i="28"/>
  <c r="AC122" i="28" l="1"/>
  <c r="AC70" i="28"/>
  <c r="AC102" i="28"/>
  <c r="AC58" i="28"/>
  <c r="G60" i="76" l="1"/>
  <c r="F5" i="52" l="1"/>
  <c r="Y37" i="76" l="1"/>
  <c r="Z37" i="76" s="1"/>
  <c r="AQ46" i="28" s="1"/>
  <c r="G83" i="76"/>
  <c r="G59" i="76"/>
  <c r="G85" i="76"/>
  <c r="V23" i="76" s="1"/>
  <c r="AC43" i="28" s="1"/>
  <c r="G84" i="76"/>
  <c r="L117" i="28"/>
  <c r="M117" i="28"/>
  <c r="N117" i="28"/>
  <c r="O117" i="28"/>
  <c r="P117" i="28"/>
  <c r="Q117" i="28"/>
  <c r="R117" i="28"/>
  <c r="S117" i="28"/>
  <c r="T117" i="28"/>
  <c r="U117" i="28"/>
  <c r="V117" i="28"/>
  <c r="W117" i="28"/>
  <c r="X117" i="28"/>
  <c r="Y117" i="28"/>
  <c r="Z117" i="28"/>
  <c r="AA117" i="28"/>
  <c r="AB117" i="28"/>
  <c r="AD117" i="28"/>
  <c r="AE117" i="28"/>
  <c r="AF117" i="28"/>
  <c r="AG117" i="28"/>
  <c r="AH117" i="28"/>
  <c r="AI117" i="28"/>
  <c r="AJ117" i="28"/>
  <c r="AK117" i="28"/>
  <c r="AL117" i="28"/>
  <c r="AM117" i="28"/>
  <c r="AN117" i="28"/>
  <c r="AO117" i="28"/>
  <c r="AP117" i="28"/>
  <c r="AQ117" i="28"/>
  <c r="AR117" i="28"/>
  <c r="AS117" i="28"/>
  <c r="AT117" i="28"/>
  <c r="K117" i="28"/>
  <c r="J61" i="28" l="1"/>
  <c r="J116" i="28"/>
  <c r="J115" i="28"/>
  <c r="J114" i="28"/>
  <c r="J112" i="28"/>
  <c r="J111" i="28"/>
  <c r="J79" i="28"/>
  <c r="J32" i="28"/>
  <c r="J31" i="28"/>
  <c r="J30" i="28"/>
  <c r="J29" i="28"/>
  <c r="J28" i="28"/>
  <c r="J25" i="28"/>
  <c r="J24" i="28"/>
  <c r="I27" i="28"/>
  <c r="I26" i="28"/>
  <c r="G47" i="76"/>
  <c r="G54" i="76" s="1"/>
  <c r="E128" i="76" l="1"/>
  <c r="G12" i="76" l="1"/>
  <c r="G23" i="76"/>
  <c r="Z23" i="76" s="1"/>
  <c r="AC46" i="28" s="1"/>
  <c r="G19" i="76"/>
  <c r="G18" i="76"/>
  <c r="G11" i="76"/>
  <c r="G17" i="76"/>
  <c r="G10" i="76"/>
  <c r="G9" i="76"/>
  <c r="G5" i="76"/>
  <c r="G15" i="76"/>
  <c r="G8" i="76"/>
  <c r="G22" i="76"/>
  <c r="G14" i="76"/>
  <c r="G7" i="76"/>
  <c r="G21" i="76"/>
  <c r="G13" i="76"/>
  <c r="G6" i="76"/>
  <c r="G16" i="76"/>
  <c r="G20" i="76"/>
  <c r="H69" i="76" l="1"/>
  <c r="G68" i="76"/>
  <c r="R20" i="76" s="1"/>
  <c r="Z39" i="28" s="1"/>
  <c r="G69" i="76"/>
  <c r="R23" i="76" s="1"/>
  <c r="AC39" i="28" s="1"/>
  <c r="G67" i="76"/>
  <c r="R5" i="76" s="1"/>
  <c r="K39" i="28" s="1"/>
  <c r="G88" i="76"/>
  <c r="W20" i="76" s="1"/>
  <c r="Z44" i="28" s="1"/>
  <c r="G89" i="76"/>
  <c r="G87" i="76"/>
  <c r="W5" i="76" s="1"/>
  <c r="K44" i="28" s="1"/>
  <c r="G91" i="76"/>
  <c r="X5" i="76" s="1"/>
  <c r="K45" i="28" s="1"/>
  <c r="G97" i="76"/>
  <c r="G96" i="76"/>
  <c r="AA20" i="76" s="1"/>
  <c r="Z47" i="28" s="1"/>
  <c r="G95" i="76"/>
  <c r="AA5" i="76" s="1"/>
  <c r="G93" i="76"/>
  <c r="G92" i="76"/>
  <c r="X20" i="76" s="1"/>
  <c r="Z45" i="28" s="1"/>
  <c r="V10" i="76"/>
  <c r="P43" i="28" s="1"/>
  <c r="V20" i="76"/>
  <c r="Z43" i="28" s="1"/>
  <c r="V5" i="76"/>
  <c r="K43" i="28" s="1"/>
  <c r="G79" i="76"/>
  <c r="U5" i="76" s="1"/>
  <c r="K42" i="28" s="1"/>
  <c r="G80" i="76"/>
  <c r="U20" i="76" s="1"/>
  <c r="Z42" i="28" s="1"/>
  <c r="G81" i="76"/>
  <c r="G73" i="76"/>
  <c r="G72" i="76"/>
  <c r="S20" i="76" s="1"/>
  <c r="Z40" i="28" s="1"/>
  <c r="G71" i="76"/>
  <c r="S5" i="76" s="1"/>
  <c r="K40" i="28" s="1"/>
  <c r="G64" i="76"/>
  <c r="Q20" i="76" s="1"/>
  <c r="Z38" i="28" s="1"/>
  <c r="G65" i="76"/>
  <c r="G63" i="76"/>
  <c r="Q5" i="76" s="1"/>
  <c r="K38" i="28" s="1"/>
  <c r="P20" i="76"/>
  <c r="Z37" i="28" s="1"/>
  <c r="G61" i="76"/>
  <c r="P5" i="76"/>
  <c r="K37" i="28" s="1"/>
  <c r="S23" i="76" l="1"/>
  <c r="AC40" i="28" s="1"/>
  <c r="X10" i="76"/>
  <c r="P45" i="28" s="1"/>
  <c r="X23" i="76"/>
  <c r="AC45" i="28" s="1"/>
  <c r="P37" i="76"/>
  <c r="AQ37" i="28" s="1"/>
  <c r="P23" i="76"/>
  <c r="AC37" i="28" s="1"/>
  <c r="U10" i="76"/>
  <c r="P42" i="28" s="1"/>
  <c r="U23" i="76"/>
  <c r="AC42" i="28" s="1"/>
  <c r="W9" i="76"/>
  <c r="O44" i="28" s="1"/>
  <c r="W23" i="76"/>
  <c r="AC44" i="28" s="1"/>
  <c r="Q38" i="76"/>
  <c r="AR38" i="28" s="1"/>
  <c r="Q23" i="76"/>
  <c r="AC38" i="28" s="1"/>
  <c r="AA10" i="76"/>
  <c r="P47" i="28" s="1"/>
  <c r="AA23" i="76"/>
  <c r="AC47" i="28" s="1"/>
  <c r="V26" i="76"/>
  <c r="AF43" i="28" s="1"/>
  <c r="AA9" i="76"/>
  <c r="O47" i="28" s="1"/>
  <c r="AA8" i="76"/>
  <c r="N47" i="28" s="1"/>
  <c r="P11" i="76"/>
  <c r="Q37" i="28" s="1"/>
  <c r="Q27" i="76"/>
  <c r="AG38" i="28" s="1"/>
  <c r="Q37" i="76"/>
  <c r="AQ38" i="28" s="1"/>
  <c r="P26" i="76"/>
  <c r="AF37" i="28" s="1"/>
  <c r="Q14" i="76"/>
  <c r="T38" i="28" s="1"/>
  <c r="S11" i="76"/>
  <c r="Q40" i="28" s="1"/>
  <c r="AA31" i="76"/>
  <c r="AK47" i="28" s="1"/>
  <c r="V14" i="76"/>
  <c r="T43" i="28" s="1"/>
  <c r="S10" i="76"/>
  <c r="P40" i="28" s="1"/>
  <c r="V38" i="76"/>
  <c r="AR43" i="28" s="1"/>
  <c r="AA19" i="76"/>
  <c r="Y47" i="28" s="1"/>
  <c r="P12" i="76"/>
  <c r="R37" i="28" s="1"/>
  <c r="Q26" i="76"/>
  <c r="AF38" i="28" s="1"/>
  <c r="V28" i="76"/>
  <c r="AH43" i="28" s="1"/>
  <c r="AA18" i="76"/>
  <c r="X47" i="28" s="1"/>
  <c r="R12" i="76"/>
  <c r="R39" i="28" s="1"/>
  <c r="R15" i="76"/>
  <c r="U39" i="28" s="1"/>
  <c r="R14" i="76"/>
  <c r="T39" i="28" s="1"/>
  <c r="R13" i="76"/>
  <c r="S39" i="28" s="1"/>
  <c r="P27" i="76"/>
  <c r="AG37" i="28" s="1"/>
  <c r="V13" i="76"/>
  <c r="S43" i="28" s="1"/>
  <c r="P38" i="76"/>
  <c r="AR37" i="28" s="1"/>
  <c r="AA39" i="76"/>
  <c r="AS47" i="28" s="1"/>
  <c r="S40" i="76"/>
  <c r="AT40" i="28" s="1"/>
  <c r="W34" i="76"/>
  <c r="AN44" i="28" s="1"/>
  <c r="W32" i="76"/>
  <c r="AL44" i="28" s="1"/>
  <c r="W18" i="76"/>
  <c r="X44" i="28" s="1"/>
  <c r="W15" i="76"/>
  <c r="U44" i="28" s="1"/>
  <c r="P10" i="76"/>
  <c r="P37" i="28" s="1"/>
  <c r="P29" i="76"/>
  <c r="AI37" i="28" s="1"/>
  <c r="P39" i="76"/>
  <c r="AS37" i="28" s="1"/>
  <c r="Q10" i="76"/>
  <c r="P38" i="28" s="1"/>
  <c r="Q28" i="76"/>
  <c r="AH38" i="28" s="1"/>
  <c r="Q39" i="76"/>
  <c r="AS38" i="28" s="1"/>
  <c r="S34" i="76"/>
  <c r="AN40" i="28" s="1"/>
  <c r="U39" i="76"/>
  <c r="AS42" i="28" s="1"/>
  <c r="V37" i="76"/>
  <c r="AQ43" i="28" s="1"/>
  <c r="V25" i="76"/>
  <c r="AE43" i="28" s="1"/>
  <c r="V11" i="76"/>
  <c r="Q43" i="28" s="1"/>
  <c r="AA38" i="76"/>
  <c r="AR47" i="28" s="1"/>
  <c r="AA29" i="76"/>
  <c r="AI47" i="28" s="1"/>
  <c r="AA7" i="76"/>
  <c r="M47" i="28" s="1"/>
  <c r="P6" i="76"/>
  <c r="L37" i="28" s="1"/>
  <c r="P9" i="76"/>
  <c r="O37" i="28" s="1"/>
  <c r="P31" i="76"/>
  <c r="AK37" i="28" s="1"/>
  <c r="P40" i="76"/>
  <c r="AT37" i="28" s="1"/>
  <c r="Q9" i="76"/>
  <c r="O38" i="28" s="1"/>
  <c r="Q30" i="76"/>
  <c r="AJ38" i="28" s="1"/>
  <c r="Q40" i="76"/>
  <c r="AT38" i="28" s="1"/>
  <c r="U33" i="76"/>
  <c r="AM42" i="28" s="1"/>
  <c r="V34" i="76"/>
  <c r="AN43" i="28" s="1"/>
  <c r="V24" i="76"/>
  <c r="AD43" i="28" s="1"/>
  <c r="V9" i="76"/>
  <c r="O43" i="28" s="1"/>
  <c r="AA37" i="76"/>
  <c r="AQ47" i="28" s="1"/>
  <c r="AA17" i="76"/>
  <c r="W47" i="28" s="1"/>
  <c r="AA6" i="76"/>
  <c r="L47" i="28" s="1"/>
  <c r="P18" i="76"/>
  <c r="X37" i="28" s="1"/>
  <c r="P8" i="76"/>
  <c r="N37" i="28" s="1"/>
  <c r="P32" i="76"/>
  <c r="AL37" i="28" s="1"/>
  <c r="Q19" i="76"/>
  <c r="Y38" i="28" s="1"/>
  <c r="Q8" i="76"/>
  <c r="N38" i="28" s="1"/>
  <c r="Q32" i="76"/>
  <c r="AL38" i="28" s="1"/>
  <c r="R35" i="76"/>
  <c r="AO39" i="28" s="1"/>
  <c r="S28" i="76"/>
  <c r="AH40" i="28" s="1"/>
  <c r="U26" i="76"/>
  <c r="AF42" i="28" s="1"/>
  <c r="V33" i="76"/>
  <c r="AM43" i="28" s="1"/>
  <c r="V22" i="76"/>
  <c r="AB43" i="28" s="1"/>
  <c r="V8" i="76"/>
  <c r="N43" i="28" s="1"/>
  <c r="AA35" i="76"/>
  <c r="AO47" i="28" s="1"/>
  <c r="AA26" i="76"/>
  <c r="AF47" i="28" s="1"/>
  <c r="P17" i="76"/>
  <c r="W37" i="28" s="1"/>
  <c r="P21" i="76"/>
  <c r="AA37" i="28" s="1"/>
  <c r="P33" i="76"/>
  <c r="AM37" i="28" s="1"/>
  <c r="Q17" i="76"/>
  <c r="W38" i="28" s="1"/>
  <c r="Q7" i="76"/>
  <c r="M38" i="28" s="1"/>
  <c r="Q33" i="76"/>
  <c r="AM38" i="28" s="1"/>
  <c r="S27" i="76"/>
  <c r="AG40" i="28" s="1"/>
  <c r="U16" i="76"/>
  <c r="V42" i="28" s="1"/>
  <c r="V32" i="76"/>
  <c r="AL43" i="28" s="1"/>
  <c r="V18" i="76"/>
  <c r="X43" i="28" s="1"/>
  <c r="V7" i="76"/>
  <c r="M43" i="28" s="1"/>
  <c r="AA34" i="76"/>
  <c r="AN47" i="28" s="1"/>
  <c r="AA25" i="76"/>
  <c r="AE47" i="28" s="1"/>
  <c r="AA14" i="76"/>
  <c r="T47" i="28" s="1"/>
  <c r="P16" i="76"/>
  <c r="V37" i="28" s="1"/>
  <c r="P24" i="76"/>
  <c r="AD37" i="28" s="1"/>
  <c r="Q16" i="76"/>
  <c r="V38" i="28" s="1"/>
  <c r="Q22" i="76"/>
  <c r="AB38" i="28" s="1"/>
  <c r="R19" i="76"/>
  <c r="Y39" i="28" s="1"/>
  <c r="S18" i="76"/>
  <c r="X40" i="28" s="1"/>
  <c r="U9" i="76"/>
  <c r="O42" i="28" s="1"/>
  <c r="V31" i="76"/>
  <c r="AK43" i="28" s="1"/>
  <c r="V16" i="76"/>
  <c r="V43" i="28" s="1"/>
  <c r="V6" i="76"/>
  <c r="L43" i="28" s="1"/>
  <c r="AA24" i="76"/>
  <c r="AD47" i="28" s="1"/>
  <c r="AA12" i="76"/>
  <c r="R47" i="28" s="1"/>
  <c r="P15" i="76"/>
  <c r="U37" i="28" s="1"/>
  <c r="P25" i="76"/>
  <c r="AE37" i="28" s="1"/>
  <c r="P36" i="76"/>
  <c r="AP37" i="28" s="1"/>
  <c r="Q15" i="76"/>
  <c r="U38" i="28" s="1"/>
  <c r="Q25" i="76"/>
  <c r="AE38" i="28" s="1"/>
  <c r="Q34" i="76"/>
  <c r="AN38" i="28" s="1"/>
  <c r="S17" i="76"/>
  <c r="W40" i="28" s="1"/>
  <c r="V39" i="76"/>
  <c r="AS43" i="28" s="1"/>
  <c r="V30" i="76"/>
  <c r="AJ43" i="28" s="1"/>
  <c r="V15" i="76"/>
  <c r="U43" i="28" s="1"/>
  <c r="AA40" i="76"/>
  <c r="AT47" i="28" s="1"/>
  <c r="AA22" i="76"/>
  <c r="AB47" i="28" s="1"/>
  <c r="R18" i="76"/>
  <c r="X39" i="28" s="1"/>
  <c r="U25" i="76"/>
  <c r="AE42" i="28" s="1"/>
  <c r="U8" i="76"/>
  <c r="N42" i="28" s="1"/>
  <c r="X37" i="76"/>
  <c r="AQ45" i="28" s="1"/>
  <c r="X6" i="76"/>
  <c r="L45" i="28" s="1"/>
  <c r="R27" i="76"/>
  <c r="AG39" i="28" s="1"/>
  <c r="R10" i="76"/>
  <c r="P39" i="28" s="1"/>
  <c r="S33" i="76"/>
  <c r="AM40" i="28" s="1"/>
  <c r="S16" i="76"/>
  <c r="V40" i="28" s="1"/>
  <c r="U38" i="76"/>
  <c r="AR42" i="28" s="1"/>
  <c r="U24" i="76"/>
  <c r="AD42" i="28" s="1"/>
  <c r="U7" i="76"/>
  <c r="M42" i="28" s="1"/>
  <c r="W37" i="76"/>
  <c r="AQ44" i="28" s="1"/>
  <c r="X31" i="76"/>
  <c r="AK45" i="28" s="1"/>
  <c r="W22" i="76"/>
  <c r="AB44" i="28" s="1"/>
  <c r="X14" i="76"/>
  <c r="T45" i="28" s="1"/>
  <c r="W6" i="76"/>
  <c r="L44" i="28" s="1"/>
  <c r="P14" i="76"/>
  <c r="T37" i="28" s="1"/>
  <c r="P7" i="76"/>
  <c r="M37" i="28" s="1"/>
  <c r="P28" i="76"/>
  <c r="AH37" i="28" s="1"/>
  <c r="P34" i="76"/>
  <c r="AN37" i="28" s="1"/>
  <c r="Q13" i="76"/>
  <c r="S38" i="28" s="1"/>
  <c r="Q35" i="76"/>
  <c r="AO38" i="28" s="1"/>
  <c r="R39" i="76"/>
  <c r="AS39" i="28" s="1"/>
  <c r="R33" i="76"/>
  <c r="AM39" i="28" s="1"/>
  <c r="R26" i="76"/>
  <c r="AF39" i="28" s="1"/>
  <c r="R16" i="76"/>
  <c r="V39" i="28" s="1"/>
  <c r="R9" i="76"/>
  <c r="O39" i="28" s="1"/>
  <c r="S32" i="76"/>
  <c r="AL40" i="28" s="1"/>
  <c r="S25" i="76"/>
  <c r="AE40" i="28" s="1"/>
  <c r="S15" i="76"/>
  <c r="U40" i="28" s="1"/>
  <c r="S8" i="76"/>
  <c r="N40" i="28" s="1"/>
  <c r="U37" i="76"/>
  <c r="AQ42" i="28" s="1"/>
  <c r="U30" i="76"/>
  <c r="AJ42" i="28" s="1"/>
  <c r="U22" i="76"/>
  <c r="AB42" i="28" s="1"/>
  <c r="U13" i="76"/>
  <c r="S42" i="28" s="1"/>
  <c r="U6" i="76"/>
  <c r="L42" i="28" s="1"/>
  <c r="V36" i="76"/>
  <c r="AP43" i="28" s="1"/>
  <c r="V29" i="76"/>
  <c r="AI43" i="28" s="1"/>
  <c r="V21" i="76"/>
  <c r="AA43" i="28" s="1"/>
  <c r="V12" i="76"/>
  <c r="R43" i="28" s="1"/>
  <c r="AA36" i="76"/>
  <c r="AP47" i="28" s="1"/>
  <c r="W31" i="76"/>
  <c r="AK44" i="28" s="1"/>
  <c r="AA28" i="76"/>
  <c r="AH47" i="28" s="1"/>
  <c r="X25" i="76"/>
  <c r="AE45" i="28" s="1"/>
  <c r="AA21" i="76"/>
  <c r="AA47" i="28" s="1"/>
  <c r="X17" i="76"/>
  <c r="W45" i="28" s="1"/>
  <c r="W14" i="76"/>
  <c r="T44" i="28" s="1"/>
  <c r="AA11" i="76"/>
  <c r="Q47" i="28" s="1"/>
  <c r="X8" i="76"/>
  <c r="N45" i="28" s="1"/>
  <c r="X34" i="76"/>
  <c r="AN45" i="28" s="1"/>
  <c r="X29" i="76"/>
  <c r="AI45" i="28" s="1"/>
  <c r="X18" i="76"/>
  <c r="X45" i="28" s="1"/>
  <c r="X12" i="76"/>
  <c r="R45" i="28" s="1"/>
  <c r="R34" i="76"/>
  <c r="AN39" i="28" s="1"/>
  <c r="R11" i="76"/>
  <c r="Q39" i="28" s="1"/>
  <c r="U32" i="76"/>
  <c r="AL42" i="28" s="1"/>
  <c r="U15" i="76"/>
  <c r="U42" i="28" s="1"/>
  <c r="X39" i="76"/>
  <c r="AS45" i="28" s="1"/>
  <c r="X26" i="76"/>
  <c r="AF45" i="28" s="1"/>
  <c r="X22" i="76"/>
  <c r="AB45" i="28" s="1"/>
  <c r="X9" i="76"/>
  <c r="O45" i="28" s="1"/>
  <c r="R40" i="76"/>
  <c r="AT39" i="28" s="1"/>
  <c r="R17" i="76"/>
  <c r="W39" i="28" s="1"/>
  <c r="S39" i="76"/>
  <c r="AS40" i="28" s="1"/>
  <c r="S26" i="76"/>
  <c r="AF40" i="28" s="1"/>
  <c r="S9" i="76"/>
  <c r="O40" i="28" s="1"/>
  <c r="U31" i="76"/>
  <c r="AK42" i="28" s="1"/>
  <c r="U14" i="76"/>
  <c r="T42" i="28" s="1"/>
  <c r="P13" i="76"/>
  <c r="S37" i="28" s="1"/>
  <c r="P35" i="76"/>
  <c r="AO37" i="28" s="1"/>
  <c r="Q6" i="76"/>
  <c r="L38" i="28" s="1"/>
  <c r="Q12" i="76"/>
  <c r="R38" i="28" s="1"/>
  <c r="Q21" i="76"/>
  <c r="AA38" i="28" s="1"/>
  <c r="Q29" i="76"/>
  <c r="AI38" i="28" s="1"/>
  <c r="Q36" i="76"/>
  <c r="AP38" i="28" s="1"/>
  <c r="R32" i="76"/>
  <c r="AL39" i="28" s="1"/>
  <c r="R25" i="76"/>
  <c r="AE39" i="28" s="1"/>
  <c r="R8" i="76"/>
  <c r="N39" i="28" s="1"/>
  <c r="S38" i="76"/>
  <c r="AR40" i="28" s="1"/>
  <c r="S31" i="76"/>
  <c r="AK40" i="28" s="1"/>
  <c r="S24" i="76"/>
  <c r="AD40" i="28" s="1"/>
  <c r="S14" i="76"/>
  <c r="T40" i="28" s="1"/>
  <c r="S7" i="76"/>
  <c r="M40" i="28" s="1"/>
  <c r="U36" i="76"/>
  <c r="AP42" i="28" s="1"/>
  <c r="U29" i="76"/>
  <c r="AI42" i="28" s="1"/>
  <c r="U21" i="76"/>
  <c r="AA42" i="28" s="1"/>
  <c r="U12" i="76"/>
  <c r="R42" i="28" s="1"/>
  <c r="V35" i="76"/>
  <c r="AO43" i="28" s="1"/>
  <c r="V19" i="76"/>
  <c r="Y43" i="28" s="1"/>
  <c r="X36" i="76"/>
  <c r="AP45" i="28" s="1"/>
  <c r="AA33" i="76"/>
  <c r="AM47" i="28" s="1"/>
  <c r="AA30" i="76"/>
  <c r="AJ47" i="28" s="1"/>
  <c r="X28" i="76"/>
  <c r="AH45" i="28" s="1"/>
  <c r="W25" i="76"/>
  <c r="AE44" i="28" s="1"/>
  <c r="X21" i="76"/>
  <c r="AA45" i="28" s="1"/>
  <c r="AA16" i="76"/>
  <c r="V47" i="28" s="1"/>
  <c r="AA13" i="76"/>
  <c r="S47" i="28" s="1"/>
  <c r="X11" i="76"/>
  <c r="Q45" i="28" s="1"/>
  <c r="W8" i="76"/>
  <c r="N44" i="28" s="1"/>
  <c r="R28" i="76"/>
  <c r="AH39" i="28" s="1"/>
  <c r="R38" i="76"/>
  <c r="AR39" i="28" s="1"/>
  <c r="R31" i="76"/>
  <c r="AK39" i="28" s="1"/>
  <c r="R24" i="76"/>
  <c r="AD39" i="28" s="1"/>
  <c r="R7" i="76"/>
  <c r="M39" i="28" s="1"/>
  <c r="S37" i="76"/>
  <c r="AQ40" i="28" s="1"/>
  <c r="S30" i="76"/>
  <c r="AJ40" i="28" s="1"/>
  <c r="S22" i="76"/>
  <c r="AB40" i="28" s="1"/>
  <c r="S13" i="76"/>
  <c r="S40" i="28" s="1"/>
  <c r="S6" i="76"/>
  <c r="L40" i="28" s="1"/>
  <c r="U35" i="76"/>
  <c r="AO42" i="28" s="1"/>
  <c r="U19" i="76"/>
  <c r="Y42" i="28" s="1"/>
  <c r="X33" i="76"/>
  <c r="AM45" i="28" s="1"/>
  <c r="X30" i="76"/>
  <c r="AJ45" i="28" s="1"/>
  <c r="W28" i="76"/>
  <c r="AH44" i="28" s="1"/>
  <c r="X16" i="76"/>
  <c r="V45" i="28" s="1"/>
  <c r="X13" i="76"/>
  <c r="S45" i="28" s="1"/>
  <c r="W11" i="76"/>
  <c r="Q44" i="28" s="1"/>
  <c r="P19" i="76"/>
  <c r="Y37" i="28" s="1"/>
  <c r="P22" i="76"/>
  <c r="AB37" i="28" s="1"/>
  <c r="P30" i="76"/>
  <c r="AJ37" i="28" s="1"/>
  <c r="Q18" i="76"/>
  <c r="X38" i="28" s="1"/>
  <c r="Q11" i="76"/>
  <c r="Q38" i="28" s="1"/>
  <c r="Q24" i="76"/>
  <c r="AD38" i="28" s="1"/>
  <c r="Q31" i="76"/>
  <c r="AK38" i="28" s="1"/>
  <c r="R37" i="76"/>
  <c r="AQ39" i="28" s="1"/>
  <c r="R30" i="76"/>
  <c r="AJ39" i="28" s="1"/>
  <c r="R22" i="76"/>
  <c r="AB39" i="28" s="1"/>
  <c r="R6" i="76"/>
  <c r="L39" i="28" s="1"/>
  <c r="S36" i="76"/>
  <c r="AP40" i="28" s="1"/>
  <c r="S29" i="76"/>
  <c r="AI40" i="28" s="1"/>
  <c r="S21" i="76"/>
  <c r="AA40" i="28" s="1"/>
  <c r="S12" i="76"/>
  <c r="R40" i="28" s="1"/>
  <c r="U34" i="76"/>
  <c r="AN42" i="28" s="1"/>
  <c r="U28" i="76"/>
  <c r="AH42" i="28" s="1"/>
  <c r="U18" i="76"/>
  <c r="X42" i="28" s="1"/>
  <c r="U11" i="76"/>
  <c r="Q42" i="28" s="1"/>
  <c r="V40" i="76"/>
  <c r="AT43" i="28" s="1"/>
  <c r="V27" i="76"/>
  <c r="AG43" i="28" s="1"/>
  <c r="V17" i="76"/>
  <c r="W43" i="28" s="1"/>
  <c r="X40" i="76"/>
  <c r="AT45" i="28" s="1"/>
  <c r="X38" i="76"/>
  <c r="AR45" i="28" s="1"/>
  <c r="X35" i="76"/>
  <c r="AO45" i="28" s="1"/>
  <c r="AA32" i="76"/>
  <c r="AL47" i="28" s="1"/>
  <c r="W30" i="76"/>
  <c r="AJ44" i="28" s="1"/>
  <c r="AA27" i="76"/>
  <c r="AG47" i="28" s="1"/>
  <c r="X24" i="76"/>
  <c r="AD45" i="28" s="1"/>
  <c r="X19" i="76"/>
  <c r="Y45" i="28" s="1"/>
  <c r="AA15" i="76"/>
  <c r="U47" i="28" s="1"/>
  <c r="W13" i="76"/>
  <c r="S44" i="28" s="1"/>
  <c r="X7" i="76"/>
  <c r="M45" i="28" s="1"/>
  <c r="R36" i="76"/>
  <c r="AP39" i="28" s="1"/>
  <c r="R29" i="76"/>
  <c r="AI39" i="28" s="1"/>
  <c r="R21" i="76"/>
  <c r="AA39" i="28" s="1"/>
  <c r="S35" i="76"/>
  <c r="AO40" i="28" s="1"/>
  <c r="S19" i="76"/>
  <c r="Y40" i="28" s="1"/>
  <c r="U40" i="76"/>
  <c r="AT42" i="28" s="1"/>
  <c r="U27" i="76"/>
  <c r="AG42" i="28" s="1"/>
  <c r="U17" i="76"/>
  <c r="W42" i="28" s="1"/>
  <c r="W40" i="76"/>
  <c r="AT44" i="28" s="1"/>
  <c r="W38" i="76"/>
  <c r="AR44" i="28" s="1"/>
  <c r="X32" i="76"/>
  <c r="AL45" i="28" s="1"/>
  <c r="X27" i="76"/>
  <c r="AG45" i="28" s="1"/>
  <c r="W24" i="76"/>
  <c r="AD44" i="28" s="1"/>
  <c r="X15" i="76"/>
  <c r="U45" i="28" s="1"/>
  <c r="W7" i="76"/>
  <c r="M44" i="28" s="1"/>
  <c r="W36" i="76"/>
  <c r="AP44" i="28" s="1"/>
  <c r="W29" i="76"/>
  <c r="AI44" i="28" s="1"/>
  <c r="W21" i="76"/>
  <c r="AA44" i="28" s="1"/>
  <c r="W12" i="76"/>
  <c r="R44" i="28" s="1"/>
  <c r="W27" i="76"/>
  <c r="AG44" i="28" s="1"/>
  <c r="W17" i="76"/>
  <c r="W44" i="28" s="1"/>
  <c r="W10" i="76"/>
  <c r="P44" i="28" s="1"/>
  <c r="W35" i="76"/>
  <c r="AO44" i="28" s="1"/>
  <c r="W19" i="76"/>
  <c r="Y44" i="28" s="1"/>
  <c r="W39" i="76"/>
  <c r="AS44" i="28" s="1"/>
  <c r="W33" i="76"/>
  <c r="AM44" i="28" s="1"/>
  <c r="W26" i="76"/>
  <c r="AF44" i="28" s="1"/>
  <c r="W16" i="76"/>
  <c r="V44" i="28" s="1"/>
  <c r="F11" i="52" l="1"/>
  <c r="G11" i="52" s="1"/>
  <c r="F10" i="52"/>
  <c r="F6" i="52" l="1"/>
  <c r="G6" i="52" s="1"/>
  <c r="F7" i="52"/>
  <c r="G7" i="52" s="1"/>
  <c r="F8" i="52"/>
  <c r="G8" i="52" s="1"/>
  <c r="F9" i="52"/>
  <c r="G9" i="52" s="1"/>
  <c r="G10" i="52"/>
  <c r="G5" i="52"/>
  <c r="AB7" i="28"/>
  <c r="H30" i="155" l="1"/>
  <c r="H31" i="155" s="1"/>
  <c r="H124" i="154"/>
  <c r="H125" i="154" s="1"/>
  <c r="G12" i="52"/>
  <c r="Y5" i="76"/>
  <c r="I167" i="101"/>
  <c r="I166" i="101"/>
  <c r="I165" i="101"/>
  <c r="H28" i="155" l="1"/>
  <c r="H20" i="100"/>
  <c r="I20" i="100" s="1"/>
  <c r="H19" i="100"/>
  <c r="I19" i="100" s="1"/>
  <c r="H5" i="154" l="1"/>
  <c r="H6" i="154"/>
  <c r="H7" i="154"/>
  <c r="H8" i="154"/>
  <c r="H9" i="154"/>
  <c r="H10" i="154"/>
  <c r="H11" i="154"/>
  <c r="H12" i="154"/>
  <c r="H13" i="154"/>
  <c r="H14" i="154"/>
  <c r="H15" i="154"/>
  <c r="H16" i="154"/>
  <c r="H17" i="154"/>
  <c r="H18" i="154"/>
  <c r="H19" i="154"/>
  <c r="H20" i="154"/>
  <c r="H21" i="154"/>
  <c r="H22" i="154"/>
  <c r="H23" i="154"/>
  <c r="H24" i="154"/>
  <c r="H25" i="154"/>
  <c r="H26" i="154"/>
  <c r="H27" i="154"/>
  <c r="H28" i="154"/>
  <c r="H29" i="154"/>
  <c r="H30" i="154"/>
  <c r="H31" i="154"/>
  <c r="H32" i="154"/>
  <c r="H33" i="154"/>
  <c r="H34" i="154"/>
  <c r="H35" i="154"/>
  <c r="H36" i="154"/>
  <c r="H37" i="154"/>
  <c r="H38" i="154"/>
  <c r="H39" i="154"/>
  <c r="H40" i="154"/>
  <c r="H41" i="154"/>
  <c r="H42" i="154"/>
  <c r="H43" i="154"/>
  <c r="H44" i="154"/>
  <c r="H45" i="154"/>
  <c r="H46" i="154"/>
  <c r="H47" i="154"/>
  <c r="H48" i="154"/>
  <c r="H49" i="154"/>
  <c r="H50" i="154"/>
  <c r="H51" i="154"/>
  <c r="H52" i="154"/>
  <c r="H53" i="154"/>
  <c r="H54" i="154"/>
  <c r="H55" i="154"/>
  <c r="H56" i="154"/>
  <c r="H57" i="154"/>
  <c r="H58" i="154"/>
  <c r="H59" i="154"/>
  <c r="H60" i="154"/>
  <c r="H61" i="154"/>
  <c r="H62" i="154"/>
  <c r="H63" i="154"/>
  <c r="H64" i="154"/>
  <c r="H65" i="154"/>
  <c r="H66" i="154"/>
  <c r="H67" i="154"/>
  <c r="H68" i="154"/>
  <c r="H69" i="154"/>
  <c r="H70" i="154"/>
  <c r="H71" i="154"/>
  <c r="H72" i="154"/>
  <c r="H73" i="154"/>
  <c r="H74" i="154"/>
  <c r="H75" i="154"/>
  <c r="H76" i="154"/>
  <c r="H77" i="154"/>
  <c r="H78" i="154"/>
  <c r="H79" i="154"/>
  <c r="H80" i="154"/>
  <c r="H81" i="154"/>
  <c r="H82" i="154"/>
  <c r="H83" i="154"/>
  <c r="H84" i="154"/>
  <c r="H85" i="154"/>
  <c r="H86" i="154"/>
  <c r="H87" i="154"/>
  <c r="H88" i="154"/>
  <c r="H89" i="154"/>
  <c r="H90" i="154"/>
  <c r="H91" i="154"/>
  <c r="H92" i="154"/>
  <c r="H93" i="154"/>
  <c r="H94" i="154"/>
  <c r="H95" i="154"/>
  <c r="H96" i="154"/>
  <c r="H97" i="154"/>
  <c r="H98" i="154"/>
  <c r="H99" i="154"/>
  <c r="H100" i="154"/>
  <c r="H101" i="154"/>
  <c r="H102" i="154"/>
  <c r="H103" i="154"/>
  <c r="H104" i="154"/>
  <c r="H105" i="154"/>
  <c r="H106" i="154"/>
  <c r="H107" i="154"/>
  <c r="H108" i="154"/>
  <c r="H109" i="154"/>
  <c r="H110" i="154"/>
  <c r="H111" i="154"/>
  <c r="H112" i="154"/>
  <c r="H113" i="154"/>
  <c r="H114" i="154"/>
  <c r="H115" i="154"/>
  <c r="H123" i="154" l="1"/>
  <c r="AC97" i="28" s="1"/>
  <c r="I5" i="154"/>
  <c r="M97" i="28" l="1"/>
  <c r="N97" i="28"/>
  <c r="U97" i="28"/>
  <c r="AD97" i="28"/>
  <c r="AK97" i="28"/>
  <c r="AR97" i="28"/>
  <c r="AG97" i="28"/>
  <c r="AT97" i="28"/>
  <c r="K97" i="28"/>
  <c r="O97" i="28"/>
  <c r="V97" i="28"/>
  <c r="AE97" i="28"/>
  <c r="AL97" i="28"/>
  <c r="P97" i="28"/>
  <c r="W97" i="28"/>
  <c r="AF97" i="28"/>
  <c r="AM97" i="28"/>
  <c r="AS97" i="28"/>
  <c r="X97" i="28"/>
  <c r="Y97" i="28"/>
  <c r="Q97" i="28"/>
  <c r="R97" i="28"/>
  <c r="Z97" i="28"/>
  <c r="AO97" i="28"/>
  <c r="T97" i="28"/>
  <c r="AQ97" i="28"/>
  <c r="AN97" i="28"/>
  <c r="L97" i="28"/>
  <c r="S97" i="28"/>
  <c r="AA97" i="28"/>
  <c r="AI97" i="28"/>
  <c r="AP97" i="28"/>
  <c r="AB97" i="28"/>
  <c r="AJ97" i="28"/>
  <c r="AH97" i="28"/>
  <c r="I123" i="154"/>
  <c r="F16" i="52"/>
  <c r="G16" i="52" s="1"/>
  <c r="F17" i="52"/>
  <c r="G17" i="52" s="1"/>
  <c r="F18" i="52"/>
  <c r="G18" i="52" s="1"/>
  <c r="F19" i="52"/>
  <c r="G19" i="52" s="1"/>
  <c r="F20" i="52"/>
  <c r="G20" i="52" s="1"/>
  <c r="F21" i="52"/>
  <c r="G21" i="52" s="1"/>
  <c r="F22" i="52"/>
  <c r="G22" i="52" s="1"/>
  <c r="F23" i="52"/>
  <c r="G23" i="52" s="1"/>
  <c r="I24" i="159"/>
  <c r="I18" i="159"/>
  <c r="I9" i="159" s="1"/>
  <c r="D24" i="159"/>
  <c r="D18" i="159"/>
  <c r="D9" i="159" s="1"/>
  <c r="AL45" i="158"/>
  <c r="AL44" i="158"/>
  <c r="AL43" i="158"/>
  <c r="AL42" i="158"/>
  <c r="AL41" i="158"/>
  <c r="AL40" i="158"/>
  <c r="AL39" i="158"/>
  <c r="AL38" i="158"/>
  <c r="AL37" i="158"/>
  <c r="AL36" i="158"/>
  <c r="AL35" i="158"/>
  <c r="AL34" i="158"/>
  <c r="AL33" i="158"/>
  <c r="AL31" i="158"/>
  <c r="AL29" i="158"/>
  <c r="AL28" i="158"/>
  <c r="AL27" i="158"/>
  <c r="AL26" i="158"/>
  <c r="AL25" i="158"/>
  <c r="AL24" i="158"/>
  <c r="AL23" i="158"/>
  <c r="AL22" i="158"/>
  <c r="AL21" i="158"/>
  <c r="AL20" i="158"/>
  <c r="AL18" i="158"/>
  <c r="AL17" i="158"/>
  <c r="AL16" i="158"/>
  <c r="AL15" i="158"/>
  <c r="AL14" i="158"/>
  <c r="AL13" i="158"/>
  <c r="AL12" i="158"/>
  <c r="AL11" i="158"/>
  <c r="AL10" i="158"/>
  <c r="I197" i="101"/>
  <c r="H27" i="155"/>
  <c r="H26" i="155"/>
  <c r="H24" i="155"/>
  <c r="H23" i="155"/>
  <c r="H25" i="155"/>
  <c r="H15" i="100"/>
  <c r="I15" i="100" s="1"/>
  <c r="H21" i="100"/>
  <c r="I21" i="100" s="1"/>
  <c r="I199" i="101" l="1"/>
  <c r="I200" i="101" s="1"/>
  <c r="I201" i="101" s="1"/>
  <c r="I23" i="100"/>
  <c r="D11" i="159"/>
  <c r="G24" i="52"/>
  <c r="F24" i="52"/>
  <c r="F12" i="52"/>
  <c r="I185" i="101"/>
  <c r="I186" i="101"/>
  <c r="I187" i="101"/>
  <c r="I188" i="101"/>
  <c r="I189" i="101"/>
  <c r="I190" i="101"/>
  <c r="I192" i="101"/>
  <c r="I193" i="101"/>
  <c r="I194" i="101"/>
  <c r="I195" i="101"/>
  <c r="I196" i="101"/>
  <c r="I184" i="101"/>
  <c r="I191" i="101"/>
  <c r="I173" i="101" l="1"/>
  <c r="I174" i="101"/>
  <c r="I175" i="101"/>
  <c r="I176" i="101"/>
  <c r="I177" i="101"/>
  <c r="I178" i="101"/>
  <c r="I179" i="101"/>
  <c r="I180" i="101"/>
  <c r="I181" i="101"/>
  <c r="I172" i="101"/>
  <c r="S3" i="157"/>
  <c r="S4" i="157"/>
  <c r="S5" i="157"/>
  <c r="S6" i="157"/>
  <c r="S7" i="157"/>
  <c r="S8" i="157"/>
  <c r="S9" i="157"/>
  <c r="S10" i="157"/>
  <c r="S11" i="157"/>
  <c r="S12" i="157"/>
  <c r="S2" i="157"/>
  <c r="C13" i="157"/>
  <c r="D13" i="157"/>
  <c r="E13" i="157"/>
  <c r="F13" i="157"/>
  <c r="G13" i="157"/>
  <c r="H13" i="157"/>
  <c r="I13" i="157"/>
  <c r="J13" i="157"/>
  <c r="K13" i="157"/>
  <c r="L13" i="157"/>
  <c r="M13" i="157"/>
  <c r="N13" i="157"/>
  <c r="O13" i="157"/>
  <c r="P13" i="157"/>
  <c r="Q13" i="157"/>
  <c r="R13" i="157"/>
  <c r="B13" i="157"/>
  <c r="S13" i="157" l="1"/>
  <c r="Y12" i="76" l="1"/>
  <c r="Y14" i="76"/>
  <c r="Z12" i="76" l="1"/>
  <c r="R46" i="28" s="1"/>
  <c r="Z14" i="76"/>
  <c r="T46" i="28" s="1"/>
  <c r="I160" i="101"/>
  <c r="I125" i="154"/>
  <c r="I152" i="101" l="1"/>
  <c r="I151" i="101"/>
  <c r="I150" i="101"/>
  <c r="I149" i="101"/>
  <c r="I148" i="101"/>
  <c r="I147" i="101"/>
  <c r="I146" i="101"/>
  <c r="I145" i="101"/>
  <c r="I144" i="101"/>
  <c r="I143" i="101"/>
  <c r="I142" i="101"/>
  <c r="I141" i="101"/>
  <c r="I153" i="101"/>
  <c r="I154" i="101"/>
  <c r="I140" i="101"/>
  <c r="I139" i="101"/>
  <c r="I138" i="101"/>
  <c r="I137" i="101"/>
  <c r="L10" i="28"/>
  <c r="M10" i="28"/>
  <c r="N10" i="28"/>
  <c r="O10" i="28"/>
  <c r="P10" i="28"/>
  <c r="Q10" i="28"/>
  <c r="R10" i="28"/>
  <c r="S10" i="28"/>
  <c r="T10" i="28"/>
  <c r="U10" i="28"/>
  <c r="V10" i="28"/>
  <c r="W10" i="28"/>
  <c r="X10" i="28"/>
  <c r="Y10" i="28"/>
  <c r="Z10" i="28"/>
  <c r="AA10" i="28"/>
  <c r="AB10" i="28"/>
  <c r="AD10" i="28"/>
  <c r="AE10" i="28"/>
  <c r="AF10" i="28"/>
  <c r="AG10" i="28"/>
  <c r="AH10" i="28"/>
  <c r="AI10" i="28"/>
  <c r="AJ10" i="28"/>
  <c r="AK10" i="28"/>
  <c r="AL10" i="28"/>
  <c r="AM10" i="28"/>
  <c r="AN10" i="28"/>
  <c r="AO10" i="28"/>
  <c r="AP10" i="28"/>
  <c r="AQ10" i="28"/>
  <c r="AR10" i="28"/>
  <c r="AS10" i="28"/>
  <c r="AT10" i="28"/>
  <c r="K10" i="28"/>
  <c r="L7" i="28"/>
  <c r="M7" i="28"/>
  <c r="N7" i="28"/>
  <c r="O7" i="28"/>
  <c r="P7" i="28"/>
  <c r="Q7" i="28"/>
  <c r="R7" i="28"/>
  <c r="S7" i="28"/>
  <c r="T7" i="28"/>
  <c r="U7" i="28"/>
  <c r="V7" i="28"/>
  <c r="W7" i="28"/>
  <c r="X7" i="28"/>
  <c r="Y7" i="28"/>
  <c r="Z7" i="28"/>
  <c r="AA7" i="28"/>
  <c r="AD7" i="28"/>
  <c r="AE7" i="28"/>
  <c r="AF7" i="28"/>
  <c r="AH7" i="28"/>
  <c r="AI7" i="28"/>
  <c r="AJ7" i="28"/>
  <c r="AK7" i="28"/>
  <c r="AL7" i="28"/>
  <c r="AM7" i="28"/>
  <c r="AN7" i="28"/>
  <c r="AO7" i="28"/>
  <c r="AP7" i="28"/>
  <c r="AQ7" i="28"/>
  <c r="AR7" i="28"/>
  <c r="AS7" i="28"/>
  <c r="AT7" i="28"/>
  <c r="K7" i="28"/>
  <c r="Y6" i="76"/>
  <c r="Y7" i="76"/>
  <c r="Y8" i="76"/>
  <c r="Y9" i="76"/>
  <c r="Y10" i="76"/>
  <c r="Y11" i="76"/>
  <c r="Y13" i="76"/>
  <c r="Y15" i="76"/>
  <c r="Y16" i="76"/>
  <c r="Y17" i="76"/>
  <c r="Y18" i="76"/>
  <c r="Y19" i="76"/>
  <c r="Y20" i="76"/>
  <c r="Z20" i="76" s="1"/>
  <c r="Y21" i="76"/>
  <c r="Y22" i="76"/>
  <c r="Y24" i="76"/>
  <c r="Y25" i="76"/>
  <c r="Y26" i="76"/>
  <c r="Y27" i="76"/>
  <c r="Y28" i="76"/>
  <c r="Y29" i="76"/>
  <c r="Y30" i="76"/>
  <c r="Y31" i="76"/>
  <c r="Y32" i="76"/>
  <c r="Y33" i="76"/>
  <c r="Y34" i="76"/>
  <c r="Y35" i="76"/>
  <c r="Y36" i="76"/>
  <c r="Y38" i="76"/>
  <c r="Y39" i="76"/>
  <c r="Y40" i="76"/>
  <c r="Z5" i="76"/>
  <c r="K46" i="28" s="1"/>
  <c r="Z16" i="76" l="1"/>
  <c r="V46" i="28" s="1"/>
  <c r="Z38" i="76"/>
  <c r="AR46" i="28" s="1"/>
  <c r="Z31" i="76"/>
  <c r="AK46" i="28" s="1"/>
  <c r="Z24" i="76"/>
  <c r="AD46" i="28" s="1"/>
  <c r="Z6" i="76"/>
  <c r="L46" i="28" s="1"/>
  <c r="Z25" i="76"/>
  <c r="AE46" i="28" s="1"/>
  <c r="Z7" i="76"/>
  <c r="M46" i="28" s="1"/>
  <c r="Z30" i="76"/>
  <c r="AJ46" i="28" s="1"/>
  <c r="Z22" i="76"/>
  <c r="AB46" i="28" s="1"/>
  <c r="Z36" i="76"/>
  <c r="AP46" i="28" s="1"/>
  <c r="Z29" i="76"/>
  <c r="AI46" i="28" s="1"/>
  <c r="Z21" i="76"/>
  <c r="AA46" i="28" s="1"/>
  <c r="Z32" i="76"/>
  <c r="AL46" i="28" s="1"/>
  <c r="Z34" i="76"/>
  <c r="AN46" i="28" s="1"/>
  <c r="Z28" i="76"/>
  <c r="AH46" i="28" s="1"/>
  <c r="Z19" i="76"/>
  <c r="Y46" i="28" s="1"/>
  <c r="Z10" i="76"/>
  <c r="P46" i="28" s="1"/>
  <c r="Z46" i="28"/>
  <c r="Z11" i="76"/>
  <c r="Q46" i="28" s="1"/>
  <c r="K47" i="28"/>
  <c r="Z40" i="76"/>
  <c r="AT46" i="28" s="1"/>
  <c r="Z27" i="76"/>
  <c r="AG46" i="28" s="1"/>
  <c r="Z18" i="76"/>
  <c r="X46" i="28" s="1"/>
  <c r="Z9" i="76"/>
  <c r="O46" i="28" s="1"/>
  <c r="Z35" i="76"/>
  <c r="AO46" i="28" s="1"/>
  <c r="Z39" i="76"/>
  <c r="AS46" i="28" s="1"/>
  <c r="Z33" i="76"/>
  <c r="AM46" i="28" s="1"/>
  <c r="Z26" i="76"/>
  <c r="AF46" i="28" s="1"/>
  <c r="Z17" i="76"/>
  <c r="W46" i="28" s="1"/>
  <c r="Z8" i="76"/>
  <c r="N46" i="28" s="1"/>
  <c r="Z15" i="76"/>
  <c r="U46" i="28" s="1"/>
  <c r="Z13" i="76"/>
  <c r="S46" i="28" s="1"/>
  <c r="H7" i="155" l="1"/>
  <c r="H8" i="155"/>
  <c r="H9" i="155"/>
  <c r="H10" i="155"/>
  <c r="H11" i="155"/>
  <c r="H12" i="155"/>
  <c r="H13" i="155"/>
  <c r="H14" i="155"/>
  <c r="H15" i="155"/>
  <c r="H16" i="155"/>
  <c r="H17" i="155"/>
  <c r="H18" i="155"/>
  <c r="H19" i="155"/>
  <c r="H20" i="155"/>
  <c r="H21" i="155"/>
  <c r="H22" i="155"/>
  <c r="H6" i="155"/>
  <c r="I169" i="101"/>
  <c r="I106" i="101"/>
  <c r="I107" i="101"/>
  <c r="I108" i="101"/>
  <c r="I109" i="101"/>
  <c r="I110" i="101"/>
  <c r="I111" i="101"/>
  <c r="I112" i="101"/>
  <c r="I113" i="101"/>
  <c r="I114" i="101"/>
  <c r="I115" i="101"/>
  <c r="I116" i="101"/>
  <c r="I117" i="101"/>
  <c r="I118" i="101"/>
  <c r="I119" i="101"/>
  <c r="I120" i="101"/>
  <c r="I121" i="101"/>
  <c r="I122" i="101"/>
  <c r="I123" i="101"/>
  <c r="I124" i="101"/>
  <c r="I125" i="101"/>
  <c r="I126" i="101"/>
  <c r="I127" i="101"/>
  <c r="I128" i="101"/>
  <c r="I129" i="101"/>
  <c r="I130" i="101"/>
  <c r="I131" i="101"/>
  <c r="I132" i="101"/>
  <c r="I133" i="101"/>
  <c r="I134" i="101"/>
  <c r="I135" i="101"/>
  <c r="I136" i="101"/>
  <c r="I155" i="101"/>
  <c r="I156" i="101"/>
  <c r="I157" i="101"/>
  <c r="I158" i="101"/>
  <c r="I159" i="101"/>
  <c r="I161" i="101"/>
  <c r="I162" i="101"/>
  <c r="I163" i="101"/>
  <c r="I164" i="101"/>
  <c r="I168" i="101"/>
  <c r="I105" i="101"/>
  <c r="I102" i="101"/>
  <c r="I101" i="101"/>
  <c r="I75" i="101"/>
  <c r="I76" i="101"/>
  <c r="I77" i="101"/>
  <c r="I78" i="101"/>
  <c r="I79" i="101"/>
  <c r="I80" i="101"/>
  <c r="I81" i="101"/>
  <c r="I82" i="101"/>
  <c r="I83" i="101"/>
  <c r="I84" i="101"/>
  <c r="I85" i="101"/>
  <c r="I86" i="101"/>
  <c r="I87" i="101"/>
  <c r="I88" i="101"/>
  <c r="I89" i="101"/>
  <c r="I90" i="101"/>
  <c r="I91" i="101"/>
  <c r="I92" i="101"/>
  <c r="I93" i="101"/>
  <c r="I94" i="101"/>
  <c r="I95" i="101"/>
  <c r="I96" i="101"/>
  <c r="I97" i="101"/>
  <c r="I98" i="101"/>
  <c r="I69" i="101"/>
  <c r="I70" i="101"/>
  <c r="I71" i="101"/>
  <c r="I72" i="101"/>
  <c r="I73" i="101"/>
  <c r="I74" i="101"/>
  <c r="I68" i="101"/>
  <c r="I29" i="101"/>
  <c r="I30" i="101"/>
  <c r="I31" i="101"/>
  <c r="I32" i="101"/>
  <c r="I33" i="101"/>
  <c r="I34" i="101"/>
  <c r="I35" i="101"/>
  <c r="I36" i="101"/>
  <c r="I37" i="101"/>
  <c r="I38" i="101"/>
  <c r="I39" i="101"/>
  <c r="I40" i="101"/>
  <c r="I41" i="101"/>
  <c r="I42" i="101"/>
  <c r="I43" i="101"/>
  <c r="I44" i="101"/>
  <c r="I45" i="101"/>
  <c r="I46" i="101"/>
  <c r="I47" i="101"/>
  <c r="I48" i="101"/>
  <c r="I49" i="101"/>
  <c r="I50" i="101"/>
  <c r="I51" i="101"/>
  <c r="I52" i="101"/>
  <c r="I53" i="101"/>
  <c r="I54" i="101"/>
  <c r="I55" i="101"/>
  <c r="I56" i="101"/>
  <c r="I57" i="101"/>
  <c r="I58" i="101"/>
  <c r="I59" i="101"/>
  <c r="I60" i="101"/>
  <c r="I61" i="101"/>
  <c r="I62" i="101"/>
  <c r="I63" i="101"/>
  <c r="I64" i="101"/>
  <c r="I65" i="101"/>
  <c r="I7" i="101"/>
  <c r="I8" i="101"/>
  <c r="I9" i="101"/>
  <c r="I10" i="101"/>
  <c r="I11" i="101"/>
  <c r="I12" i="101"/>
  <c r="I13" i="101"/>
  <c r="I14" i="101"/>
  <c r="I15" i="101"/>
  <c r="I16" i="101"/>
  <c r="I17" i="101"/>
  <c r="I18" i="101"/>
  <c r="I19" i="101"/>
  <c r="I20" i="101"/>
  <c r="I21" i="101"/>
  <c r="I22" i="101"/>
  <c r="I23" i="101"/>
  <c r="I24" i="101"/>
  <c r="I25" i="101"/>
  <c r="I26" i="101"/>
  <c r="I6" i="101"/>
  <c r="H17" i="100"/>
  <c r="I17" i="100" s="1"/>
  <c r="H14" i="100"/>
  <c r="I14" i="100" s="1"/>
  <c r="H13" i="100"/>
  <c r="I13" i="100" s="1"/>
  <c r="H12" i="100"/>
  <c r="H10" i="100"/>
  <c r="H8" i="100"/>
  <c r="I8" i="100" s="1"/>
  <c r="H7" i="100"/>
  <c r="I198" i="101" l="1"/>
  <c r="I50" i="158" s="1"/>
  <c r="I7" i="100"/>
  <c r="H29" i="155"/>
  <c r="AC96" i="28" s="1"/>
  <c r="AC99" i="28" s="1"/>
  <c r="H9" i="100"/>
  <c r="I9" i="100" s="1"/>
  <c r="I12" i="100"/>
  <c r="I10" i="100"/>
  <c r="H16" i="100"/>
  <c r="H11" i="100"/>
  <c r="I11" i="100" s="1"/>
  <c r="H18" i="100"/>
  <c r="I18" i="100" s="1"/>
  <c r="AC126" i="28" l="1"/>
  <c r="AC106" i="28"/>
  <c r="J50" i="158"/>
  <c r="K50" i="158"/>
  <c r="H22" i="100"/>
  <c r="Y96" i="28"/>
  <c r="AH96" i="28"/>
  <c r="AN96" i="28"/>
  <c r="K96" i="28"/>
  <c r="AK96" i="28"/>
  <c r="V96" i="28"/>
  <c r="R96" i="28"/>
  <c r="Z96" i="28"/>
  <c r="AO96" i="28"/>
  <c r="AR96" i="28"/>
  <c r="AL96" i="28"/>
  <c r="L96" i="28"/>
  <c r="S96" i="28"/>
  <c r="AA96" i="28"/>
  <c r="AI96" i="28"/>
  <c r="AP96" i="28"/>
  <c r="AD96" i="28"/>
  <c r="AE96" i="28"/>
  <c r="M96" i="28"/>
  <c r="T96" i="28"/>
  <c r="AB96" i="28"/>
  <c r="AJ96" i="28"/>
  <c r="AQ96" i="28"/>
  <c r="U96" i="28"/>
  <c r="N96" i="28"/>
  <c r="O96" i="28"/>
  <c r="P96" i="28"/>
  <c r="W96" i="28"/>
  <c r="AF96" i="28"/>
  <c r="AM96" i="28"/>
  <c r="AS96" i="28"/>
  <c r="Q96" i="28"/>
  <c r="X96" i="28"/>
  <c r="AG96" i="28"/>
  <c r="AT96" i="28"/>
  <c r="I16" i="100"/>
  <c r="I22" i="100" s="1"/>
  <c r="I24" i="100" l="1"/>
  <c r="I25" i="100" l="1"/>
  <c r="I49" i="158" s="1"/>
  <c r="AQ162" i="28"/>
  <c r="AQ143" i="28"/>
  <c r="AQ163" i="28" s="1"/>
  <c r="AQ142" i="28"/>
  <c r="AQ89" i="28"/>
  <c r="AQ11" i="28"/>
  <c r="AO162" i="28"/>
  <c r="AO143" i="28"/>
  <c r="AO163" i="28" s="1"/>
  <c r="AO142" i="28"/>
  <c r="AO89" i="28"/>
  <c r="AO11" i="28"/>
  <c r="AO14" i="28" s="1"/>
  <c r="AD162" i="28"/>
  <c r="AD143" i="28"/>
  <c r="AD163" i="28" s="1"/>
  <c r="AD142" i="28"/>
  <c r="AD89" i="28"/>
  <c r="AD11" i="28"/>
  <c r="AD14" i="28" s="1"/>
  <c r="AB162" i="28"/>
  <c r="AB143" i="28"/>
  <c r="AB163" i="28" s="1"/>
  <c r="AB142" i="28"/>
  <c r="AB89" i="28"/>
  <c r="AA162" i="28"/>
  <c r="AA143" i="28"/>
  <c r="AA163" i="28" s="1"/>
  <c r="AA142" i="28"/>
  <c r="AA89" i="28"/>
  <c r="AA11" i="28"/>
  <c r="Z162" i="28"/>
  <c r="Z143" i="28"/>
  <c r="Z163" i="28" s="1"/>
  <c r="Z142" i="28"/>
  <c r="Z89" i="28"/>
  <c r="Z11" i="28"/>
  <c r="Z14" i="28" s="1"/>
  <c r="Y162" i="28"/>
  <c r="Y143" i="28"/>
  <c r="Y163" i="28" s="1"/>
  <c r="Y142" i="28"/>
  <c r="Y89" i="28"/>
  <c r="Y11" i="28"/>
  <c r="Y14" i="28" s="1"/>
  <c r="X162" i="28"/>
  <c r="X143" i="28"/>
  <c r="X163" i="28" s="1"/>
  <c r="X142" i="28"/>
  <c r="X89" i="28"/>
  <c r="X11" i="28"/>
  <c r="X14" i="28" s="1"/>
  <c r="W162" i="28"/>
  <c r="W143" i="28"/>
  <c r="W163" i="28" s="1"/>
  <c r="W142" i="28"/>
  <c r="W89" i="28"/>
  <c r="W11" i="28"/>
  <c r="V162" i="28"/>
  <c r="V143" i="28"/>
  <c r="V163" i="28" s="1"/>
  <c r="V142" i="28"/>
  <c r="V89" i="28"/>
  <c r="V11" i="28"/>
  <c r="V14" i="28" s="1"/>
  <c r="T162" i="28"/>
  <c r="S162" i="28"/>
  <c r="R162" i="28"/>
  <c r="T143" i="28"/>
  <c r="T163" i="28" s="1"/>
  <c r="S143" i="28"/>
  <c r="S163" i="28" s="1"/>
  <c r="R143" i="28"/>
  <c r="R163" i="28" s="1"/>
  <c r="T142" i="28"/>
  <c r="S142" i="28"/>
  <c r="R142" i="28"/>
  <c r="T89" i="28"/>
  <c r="S89" i="28"/>
  <c r="R89" i="28"/>
  <c r="T11" i="28"/>
  <c r="T14" i="28" s="1"/>
  <c r="S11" i="28"/>
  <c r="R11" i="28"/>
  <c r="R14" i="28" s="1"/>
  <c r="U11" i="28"/>
  <c r="U89" i="28"/>
  <c r="U142" i="28"/>
  <c r="U143" i="28"/>
  <c r="U163" i="28" s="1"/>
  <c r="U162" i="28"/>
  <c r="J49" i="158" l="1"/>
  <c r="K49" i="158"/>
  <c r="S12" i="28"/>
  <c r="S13" i="28"/>
  <c r="U13" i="28"/>
  <c r="U12" i="28"/>
  <c r="T70" i="28"/>
  <c r="K95" i="28"/>
  <c r="K94" i="28"/>
  <c r="AQ14" i="28"/>
  <c r="AO102" i="28"/>
  <c r="AO122" i="28"/>
  <c r="AO70" i="28"/>
  <c r="AO58" i="28"/>
  <c r="AD58" i="28"/>
  <c r="AD122" i="28"/>
  <c r="AD70" i="28"/>
  <c r="AD102" i="28"/>
  <c r="AB11" i="28"/>
  <c r="AB14" i="28" s="1"/>
  <c r="AA14" i="28"/>
  <c r="Z122" i="28"/>
  <c r="Z70" i="28"/>
  <c r="Z102" i="28"/>
  <c r="Z58" i="28"/>
  <c r="Y122" i="28"/>
  <c r="Y102" i="28"/>
  <c r="Y70" i="28"/>
  <c r="Y58" i="28"/>
  <c r="X122" i="28"/>
  <c r="X102" i="28"/>
  <c r="X70" i="28"/>
  <c r="X58" i="28"/>
  <c r="W14" i="28"/>
  <c r="V70" i="28"/>
  <c r="V122" i="28"/>
  <c r="V102" i="28"/>
  <c r="V58" i="28"/>
  <c r="R70" i="28"/>
  <c r="R122" i="28"/>
  <c r="R102" i="28"/>
  <c r="R58" i="28"/>
  <c r="T122" i="28"/>
  <c r="T58" i="28"/>
  <c r="T102" i="28"/>
  <c r="U14" i="28" l="1"/>
  <c r="S14" i="28"/>
  <c r="N94" i="28"/>
  <c r="U94" i="28"/>
  <c r="AD94" i="28"/>
  <c r="AK94" i="28"/>
  <c r="AR94" i="28"/>
  <c r="O94" i="28"/>
  <c r="V94" i="28"/>
  <c r="AE94" i="28"/>
  <c r="AL94" i="28"/>
  <c r="P94" i="28"/>
  <c r="W94" i="28"/>
  <c r="AF94" i="28"/>
  <c r="AM94" i="28"/>
  <c r="AS94" i="28"/>
  <c r="Q94" i="28"/>
  <c r="X94" i="28"/>
  <c r="AG94" i="28"/>
  <c r="AT94" i="28"/>
  <c r="Y94" i="28"/>
  <c r="AH94" i="28"/>
  <c r="AN94" i="28"/>
  <c r="R94" i="28"/>
  <c r="Z94" i="28"/>
  <c r="AO94" i="28"/>
  <c r="L94" i="28"/>
  <c r="S94" i="28"/>
  <c r="AA94" i="28"/>
  <c r="AI94" i="28"/>
  <c r="AP94" i="28"/>
  <c r="M94" i="28"/>
  <c r="T94" i="28"/>
  <c r="AB94" i="28"/>
  <c r="AJ94" i="28"/>
  <c r="AQ94" i="28"/>
  <c r="M95" i="28"/>
  <c r="T95" i="28"/>
  <c r="AB95" i="28"/>
  <c r="AJ95" i="28"/>
  <c r="AQ95" i="28"/>
  <c r="N95" i="28"/>
  <c r="U95" i="28"/>
  <c r="AD95" i="28"/>
  <c r="AK95" i="28"/>
  <c r="AR95" i="28"/>
  <c r="O95" i="28"/>
  <c r="V95" i="28"/>
  <c r="AE95" i="28"/>
  <c r="AL95" i="28"/>
  <c r="P95" i="28"/>
  <c r="W95" i="28"/>
  <c r="AF95" i="28"/>
  <c r="AM95" i="28"/>
  <c r="AS95" i="28"/>
  <c r="Q95" i="28"/>
  <c r="X95" i="28"/>
  <c r="AG95" i="28"/>
  <c r="AT95" i="28"/>
  <c r="Y95" i="28"/>
  <c r="AH95" i="28"/>
  <c r="AN95" i="28"/>
  <c r="R95" i="28"/>
  <c r="Z95" i="28"/>
  <c r="AO95" i="28"/>
  <c r="L95" i="28"/>
  <c r="S95" i="28"/>
  <c r="AA95" i="28"/>
  <c r="AI95" i="28"/>
  <c r="AP95" i="28"/>
  <c r="AQ70" i="28"/>
  <c r="AQ102" i="28"/>
  <c r="AQ58" i="28"/>
  <c r="AQ122" i="28"/>
  <c r="AB102" i="28"/>
  <c r="AB70" i="28"/>
  <c r="AB122" i="28"/>
  <c r="AB58" i="28"/>
  <c r="AA102" i="28"/>
  <c r="AA58" i="28"/>
  <c r="AA70" i="28"/>
  <c r="AA122" i="28"/>
  <c r="W58" i="28"/>
  <c r="W70" i="28"/>
  <c r="W102" i="28"/>
  <c r="W122" i="28"/>
  <c r="Y99" i="28" l="1"/>
  <c r="Y126" i="28" s="1"/>
  <c r="U122" i="28"/>
  <c r="T99" i="28"/>
  <c r="T126" i="28" s="1"/>
  <c r="AB99" i="28"/>
  <c r="AB126" i="28" s="1"/>
  <c r="U70" i="28"/>
  <c r="U102" i="28"/>
  <c r="U58" i="28"/>
  <c r="AO99" i="28"/>
  <c r="AO106" i="28" s="1"/>
  <c r="AA99" i="28"/>
  <c r="AA126" i="28" s="1"/>
  <c r="AQ99" i="28"/>
  <c r="AQ106" i="28" s="1"/>
  <c r="S99" i="28"/>
  <c r="S126" i="28" s="1"/>
  <c r="V99" i="28"/>
  <c r="V126" i="28" s="1"/>
  <c r="W99" i="28"/>
  <c r="Z99" i="28"/>
  <c r="AD99" i="28"/>
  <c r="R99" i="28"/>
  <c r="U99" i="28"/>
  <c r="X99" i="28"/>
  <c r="Y106" i="28" l="1"/>
  <c r="T106" i="28"/>
  <c r="AB106" i="28"/>
  <c r="AO126" i="28"/>
  <c r="AA106" i="28"/>
  <c r="AQ126" i="28"/>
  <c r="S106" i="28"/>
  <c r="V106" i="28"/>
  <c r="X106" i="28"/>
  <c r="X126" i="28"/>
  <c r="U106" i="28"/>
  <c r="U126" i="28"/>
  <c r="R106" i="28"/>
  <c r="R126" i="28"/>
  <c r="AD106" i="28"/>
  <c r="AD126" i="28"/>
  <c r="Z106" i="28"/>
  <c r="Z126" i="28"/>
  <c r="W106" i="28"/>
  <c r="W126" i="28"/>
  <c r="AR162" i="28" l="1"/>
  <c r="AP162" i="28"/>
  <c r="AT162" i="28"/>
  <c r="AS162" i="28"/>
  <c r="AN162" i="28"/>
  <c r="AM162" i="28"/>
  <c r="AL162" i="28"/>
  <c r="AK162" i="28"/>
  <c r="AJ162" i="28"/>
  <c r="AI162" i="28"/>
  <c r="AH162" i="28"/>
  <c r="AG162" i="28"/>
  <c r="AF162" i="28"/>
  <c r="AE162" i="28"/>
  <c r="Q162" i="28"/>
  <c r="P162" i="28"/>
  <c r="O162" i="28"/>
  <c r="N162" i="28"/>
  <c r="M162" i="28"/>
  <c r="L162" i="28"/>
  <c r="K162" i="28"/>
  <c r="AR142" i="28"/>
  <c r="AP142" i="28"/>
  <c r="AT142" i="28"/>
  <c r="AS142" i="28"/>
  <c r="AN142" i="28"/>
  <c r="AM142" i="28"/>
  <c r="AL142" i="28"/>
  <c r="AK142" i="28"/>
  <c r="AJ142" i="28"/>
  <c r="AI142" i="28"/>
  <c r="AH142" i="28"/>
  <c r="AG142" i="28"/>
  <c r="AF142" i="28"/>
  <c r="AE142" i="28"/>
  <c r="Q142" i="28"/>
  <c r="P142" i="28"/>
  <c r="O142" i="28"/>
  <c r="N142" i="28"/>
  <c r="M142" i="28"/>
  <c r="L142" i="28"/>
  <c r="K142" i="28"/>
  <c r="I62" i="28" l="1"/>
  <c r="AC62" i="28" s="1"/>
  <c r="AO62" i="28" l="1"/>
  <c r="AQ62" i="28"/>
  <c r="AB62" i="28"/>
  <c r="AD62" i="28"/>
  <c r="Z62" i="28"/>
  <c r="AA62" i="28"/>
  <c r="X62" i="28"/>
  <c r="Y62" i="28"/>
  <c r="V62" i="28"/>
  <c r="W62" i="28"/>
  <c r="U62" i="28"/>
  <c r="R62" i="28"/>
  <c r="T62" i="28"/>
  <c r="AH143" i="28" l="1"/>
  <c r="AH163" i="28" s="1"/>
  <c r="Q143" i="28"/>
  <c r="Q163" i="28" s="1"/>
  <c r="AJ143" i="28"/>
  <c r="AE143" i="28"/>
  <c r="AM143" i="28"/>
  <c r="AR143" i="28"/>
  <c r="O143" i="28"/>
  <c r="O163" i="28" s="1"/>
  <c r="AI143" i="28"/>
  <c r="AP143" i="28"/>
  <c r="L143" i="28"/>
  <c r="AG143" i="28"/>
  <c r="AL143" i="28"/>
  <c r="AT143" i="28"/>
  <c r="K143" i="28"/>
  <c r="P143" i="28"/>
  <c r="AF143" i="28"/>
  <c r="AK143" i="28"/>
  <c r="M143" i="28"/>
  <c r="N143" i="28"/>
  <c r="AN143" i="28"/>
  <c r="AS143" i="28"/>
  <c r="AS163" i="28" s="1"/>
  <c r="AG163" i="28" l="1"/>
  <c r="AG164" i="28" s="1"/>
  <c r="AG144" i="28"/>
  <c r="M163" i="28"/>
  <c r="M164" i="28" s="1"/>
  <c r="M144" i="28"/>
  <c r="AI163" i="28"/>
  <c r="AI164" i="28" s="1"/>
  <c r="AI144" i="28"/>
  <c r="AJ163" i="28"/>
  <c r="AJ164" i="28" s="1"/>
  <c r="AJ144" i="28"/>
  <c r="AM163" i="28"/>
  <c r="AM164" i="28" s="1"/>
  <c r="AM144" i="28"/>
  <c r="AL163" i="28"/>
  <c r="AL164" i="28" s="1"/>
  <c r="AL144" i="28"/>
  <c r="AP163" i="28"/>
  <c r="AP164" i="28" s="1"/>
  <c r="AP144" i="28"/>
  <c r="AR163" i="28"/>
  <c r="AR164" i="28" s="1"/>
  <c r="AR144" i="28"/>
  <c r="AF163" i="28"/>
  <c r="AF164" i="28" s="1"/>
  <c r="AF144" i="28"/>
  <c r="AT163" i="28"/>
  <c r="AT164" i="28" s="1"/>
  <c r="AT144" i="28"/>
  <c r="K144" i="28"/>
  <c r="K163" i="28"/>
  <c r="K164" i="28" s="1"/>
  <c r="L144" i="28"/>
  <c r="L163" i="28"/>
  <c r="L164" i="28" s="1"/>
  <c r="AE163" i="28"/>
  <c r="AE164" i="28" s="1"/>
  <c r="AE144" i="28"/>
  <c r="AN163" i="28"/>
  <c r="AN164" i="28" s="1"/>
  <c r="AN144" i="28"/>
  <c r="P163" i="28"/>
  <c r="P164" i="28" s="1"/>
  <c r="P144" i="28"/>
  <c r="N163" i="28"/>
  <c r="N164" i="28" s="1"/>
  <c r="N144" i="28"/>
  <c r="AK163" i="28"/>
  <c r="AK164" i="28" s="1"/>
  <c r="AK144" i="28"/>
  <c r="D77" i="141" l="1"/>
  <c r="D76" i="141"/>
  <c r="D78" i="141" s="1"/>
  <c r="D73" i="141"/>
  <c r="D72" i="141"/>
  <c r="D33" i="141"/>
  <c r="D17" i="141"/>
  <c r="D16" i="141"/>
  <c r="D18" i="141" l="1"/>
  <c r="I59" i="28"/>
  <c r="AC59" i="28" s="1"/>
  <c r="AC60" i="28" l="1"/>
  <c r="AC61" i="28" s="1"/>
  <c r="AO59" i="28"/>
  <c r="AO60" i="28" s="1"/>
  <c r="AO61" i="28" s="1"/>
  <c r="AQ59" i="28"/>
  <c r="AB59" i="28"/>
  <c r="AB60" i="28" s="1"/>
  <c r="AB61" i="28" s="1"/>
  <c r="AD59" i="28"/>
  <c r="Z59" i="28"/>
  <c r="Z60" i="28" s="1"/>
  <c r="Z61" i="28" s="1"/>
  <c r="AA59" i="28"/>
  <c r="X59" i="28"/>
  <c r="X60" i="28" s="1"/>
  <c r="X61" i="28" s="1"/>
  <c r="Y59" i="28"/>
  <c r="V59" i="28"/>
  <c r="V60" i="28" s="1"/>
  <c r="V61" i="28" s="1"/>
  <c r="W59" i="28"/>
  <c r="U59" i="28"/>
  <c r="U60" i="28" s="1"/>
  <c r="U61" i="28" s="1"/>
  <c r="R59" i="28"/>
  <c r="T59" i="28"/>
  <c r="AQ60" i="28" l="1"/>
  <c r="AQ61" i="28" s="1"/>
  <c r="AD60" i="28"/>
  <c r="AD61" i="28" s="1"/>
  <c r="AA60" i="28"/>
  <c r="AA61" i="28" s="1"/>
  <c r="Y60" i="28"/>
  <c r="Y61" i="28" s="1"/>
  <c r="W60" i="28"/>
  <c r="W61" i="28" s="1"/>
  <c r="R60" i="28"/>
  <c r="R61" i="28" s="1"/>
  <c r="T60" i="28"/>
  <c r="T61" i="28" s="1"/>
  <c r="J26" i="28" l="1"/>
  <c r="J33" i="28" l="1"/>
  <c r="J18" i="28"/>
  <c r="AC18" i="28" s="1"/>
  <c r="J19" i="28"/>
  <c r="AC19" i="28" s="1"/>
  <c r="AR89" i="28"/>
  <c r="AP89" i="28"/>
  <c r="AT89" i="28"/>
  <c r="AS89" i="28"/>
  <c r="AN89" i="28"/>
  <c r="AM89" i="28"/>
  <c r="AL89" i="28"/>
  <c r="AK89" i="28"/>
  <c r="AJ89" i="28"/>
  <c r="AI89" i="28"/>
  <c r="AH89" i="28"/>
  <c r="AG89" i="28"/>
  <c r="AF89" i="28"/>
  <c r="AE89" i="28"/>
  <c r="Q89" i="28"/>
  <c r="P89" i="28"/>
  <c r="O89" i="28"/>
  <c r="N89" i="28"/>
  <c r="M89" i="28"/>
  <c r="L89" i="28"/>
  <c r="K89" i="28"/>
  <c r="J80" i="28"/>
  <c r="J76" i="74"/>
  <c r="J74" i="74"/>
  <c r="J6" i="74"/>
  <c r="I116" i="74"/>
  <c r="I114" i="74"/>
  <c r="J109" i="74"/>
  <c r="J108" i="74"/>
  <c r="N85" i="74"/>
  <c r="N89" i="74" s="1"/>
  <c r="M85" i="74"/>
  <c r="M89" i="74" s="1"/>
  <c r="L85" i="74"/>
  <c r="L89" i="74" s="1"/>
  <c r="K85" i="74"/>
  <c r="K89" i="74" s="1"/>
  <c r="I76" i="74"/>
  <c r="I75" i="74"/>
  <c r="I74" i="74"/>
  <c r="I73" i="74"/>
  <c r="I72" i="74"/>
  <c r="I71" i="74"/>
  <c r="J37" i="74"/>
  <c r="J36" i="74"/>
  <c r="J35" i="74"/>
  <c r="J34" i="74"/>
  <c r="J33" i="74"/>
  <c r="J31" i="74"/>
  <c r="J30" i="74"/>
  <c r="J22" i="74"/>
  <c r="J21" i="74"/>
  <c r="N15" i="74"/>
  <c r="M15" i="74"/>
  <c r="L15" i="74"/>
  <c r="K15" i="74"/>
  <c r="N12" i="74"/>
  <c r="L12" i="74"/>
  <c r="J10" i="74"/>
  <c r="J9" i="74"/>
  <c r="J8" i="74"/>
  <c r="J73" i="74"/>
  <c r="M11" i="28"/>
  <c r="M14" i="28" s="1"/>
  <c r="M6" i="72"/>
  <c r="P5" i="72" s="1"/>
  <c r="E14" i="72"/>
  <c r="I14" i="72" s="1"/>
  <c r="E15" i="72"/>
  <c r="I15" i="72" s="1"/>
  <c r="E16" i="72"/>
  <c r="I16" i="72" s="1"/>
  <c r="I17" i="72"/>
  <c r="H18" i="72"/>
  <c r="E20" i="72"/>
  <c r="I20" i="72"/>
  <c r="E21" i="72"/>
  <c r="I21" i="72"/>
  <c r="E22" i="72"/>
  <c r="I22" i="72"/>
  <c r="H23" i="72"/>
  <c r="E25" i="72"/>
  <c r="I25" i="72"/>
  <c r="E26" i="72"/>
  <c r="I26" i="72"/>
  <c r="E27" i="72"/>
  <c r="I27" i="72"/>
  <c r="H28" i="72"/>
  <c r="E30" i="72"/>
  <c r="I30" i="72"/>
  <c r="E31" i="72"/>
  <c r="I31" i="72"/>
  <c r="E32" i="72"/>
  <c r="I32" i="72"/>
  <c r="H33" i="72"/>
  <c r="E35" i="72"/>
  <c r="I35" i="72"/>
  <c r="E36" i="72"/>
  <c r="I36" i="72"/>
  <c r="E37" i="72"/>
  <c r="I37" i="72"/>
  <c r="H38" i="72"/>
  <c r="E40" i="72"/>
  <c r="I40" i="72"/>
  <c r="E41" i="72"/>
  <c r="I41" i="72"/>
  <c r="E42" i="72"/>
  <c r="I42" i="72"/>
  <c r="H43" i="72"/>
  <c r="E45" i="72"/>
  <c r="I45" i="72"/>
  <c r="E46" i="72"/>
  <c r="I46" i="72"/>
  <c r="E47" i="72"/>
  <c r="I47" i="72"/>
  <c r="H48" i="72"/>
  <c r="E50" i="72"/>
  <c r="I50" i="72"/>
  <c r="E51" i="72"/>
  <c r="I51" i="72"/>
  <c r="E52" i="72"/>
  <c r="I52" i="72"/>
  <c r="H53" i="72"/>
  <c r="E55" i="72"/>
  <c r="I55" i="72"/>
  <c r="E56" i="72"/>
  <c r="I56" i="72"/>
  <c r="E57" i="72"/>
  <c r="I57" i="72"/>
  <c r="H58" i="72"/>
  <c r="E60" i="72"/>
  <c r="I60" i="72"/>
  <c r="E61" i="72"/>
  <c r="I61" i="72"/>
  <c r="E62" i="72"/>
  <c r="I62" i="72"/>
  <c r="H63" i="72"/>
  <c r="E65" i="72"/>
  <c r="I65" i="72"/>
  <c r="E66" i="72"/>
  <c r="I66" i="72"/>
  <c r="E67" i="72"/>
  <c r="I67" i="72"/>
  <c r="H68" i="72"/>
  <c r="E70" i="72"/>
  <c r="I70" i="72"/>
  <c r="E71" i="72"/>
  <c r="I71" i="72"/>
  <c r="E72" i="72"/>
  <c r="I72" i="72"/>
  <c r="H73" i="72"/>
  <c r="E75" i="72"/>
  <c r="I75" i="72"/>
  <c r="E76" i="72"/>
  <c r="I76" i="72"/>
  <c r="E77" i="72"/>
  <c r="I77" i="72"/>
  <c r="H78" i="72"/>
  <c r="E80" i="72"/>
  <c r="I80" i="72"/>
  <c r="E81" i="72"/>
  <c r="I81" i="72"/>
  <c r="E82" i="72"/>
  <c r="I82" i="72"/>
  <c r="H83" i="72"/>
  <c r="E85" i="72"/>
  <c r="I85" i="72"/>
  <c r="E86" i="72"/>
  <c r="I86" i="72"/>
  <c r="E87" i="72"/>
  <c r="I87" i="72"/>
  <c r="H88" i="72"/>
  <c r="E90" i="72"/>
  <c r="I90" i="72"/>
  <c r="E91" i="72"/>
  <c r="G91" i="72" s="1"/>
  <c r="J91" i="72" s="1"/>
  <c r="I91" i="72"/>
  <c r="E92" i="72"/>
  <c r="G92" i="72" s="1"/>
  <c r="J92" i="72" s="1"/>
  <c r="I92" i="72"/>
  <c r="H93" i="72"/>
  <c r="E95" i="72"/>
  <c r="I95" i="72"/>
  <c r="E96" i="72"/>
  <c r="I96" i="72"/>
  <c r="E97" i="72"/>
  <c r="I97" i="72"/>
  <c r="H98" i="72"/>
  <c r="E100" i="72"/>
  <c r="I100" i="72"/>
  <c r="E101" i="72"/>
  <c r="I101" i="72"/>
  <c r="E102" i="72"/>
  <c r="I102" i="72"/>
  <c r="H103" i="72"/>
  <c r="E105" i="72"/>
  <c r="I105" i="72"/>
  <c r="E106" i="72"/>
  <c r="I106" i="72"/>
  <c r="E107" i="72"/>
  <c r="I107" i="72"/>
  <c r="H108" i="72"/>
  <c r="E110" i="72"/>
  <c r="I110" i="72"/>
  <c r="E111" i="72"/>
  <c r="I111" i="72"/>
  <c r="E112" i="72"/>
  <c r="I112" i="72"/>
  <c r="H113" i="72"/>
  <c r="E115" i="72"/>
  <c r="I115" i="72"/>
  <c r="E116" i="72"/>
  <c r="I116" i="72"/>
  <c r="E117" i="72"/>
  <c r="I117" i="72"/>
  <c r="H118" i="72"/>
  <c r="F57" i="72"/>
  <c r="G57" i="72" s="1"/>
  <c r="J57" i="72" s="1"/>
  <c r="F55" i="72"/>
  <c r="F56" i="72" s="1"/>
  <c r="F82" i="72"/>
  <c r="G82" i="72" s="1"/>
  <c r="J82" i="72" s="1"/>
  <c r="F80" i="72"/>
  <c r="F81" i="72" s="1"/>
  <c r="F70" i="72"/>
  <c r="F90" i="72"/>
  <c r="F42" i="72"/>
  <c r="F97" i="72"/>
  <c r="F67" i="72"/>
  <c r="F37" i="72"/>
  <c r="F32" i="72"/>
  <c r="G32" i="72" s="1"/>
  <c r="J32" i="72" s="1"/>
  <c r="F45" i="72"/>
  <c r="F46" i="72" s="1"/>
  <c r="G46" i="72" s="1"/>
  <c r="J46" i="72" s="1"/>
  <c r="F85" i="72"/>
  <c r="F86" i="72" s="1"/>
  <c r="F65" i="72"/>
  <c r="F66" i="72" s="1"/>
  <c r="F110" i="72"/>
  <c r="F111" i="72" s="1"/>
  <c r="G111" i="72" s="1"/>
  <c r="J111" i="72" s="1"/>
  <c r="F52" i="72"/>
  <c r="F107" i="72"/>
  <c r="F115" i="72"/>
  <c r="F116" i="72" s="1"/>
  <c r="F62" i="72"/>
  <c r="F60" i="72"/>
  <c r="F117" i="72"/>
  <c r="F87" i="72"/>
  <c r="F100" i="72"/>
  <c r="F101" i="72" s="1"/>
  <c r="F35" i="72"/>
  <c r="F102" i="72"/>
  <c r="F30" i="72"/>
  <c r="F95" i="72"/>
  <c r="F96" i="72" s="1"/>
  <c r="F105" i="72"/>
  <c r="F106" i="72" s="1"/>
  <c r="F112" i="72"/>
  <c r="F77" i="72"/>
  <c r="F40" i="72"/>
  <c r="F47" i="72"/>
  <c r="F72" i="72"/>
  <c r="F75" i="72"/>
  <c r="F76" i="72" s="1"/>
  <c r="F50" i="72"/>
  <c r="F51" i="72" s="1"/>
  <c r="F22" i="72"/>
  <c r="F25" i="72"/>
  <c r="F27" i="72"/>
  <c r="F20" i="72"/>
  <c r="F21" i="72" s="1"/>
  <c r="G21" i="72" s="1"/>
  <c r="J21" i="72" s="1"/>
  <c r="I112" i="74"/>
  <c r="I111" i="74"/>
  <c r="J110" i="74" s="1"/>
  <c r="J72" i="74"/>
  <c r="N94" i="74"/>
  <c r="M94" i="74"/>
  <c r="J75" i="74"/>
  <c r="J71" i="74"/>
  <c r="J81" i="74" s="1"/>
  <c r="J56" i="74"/>
  <c r="J59" i="74"/>
  <c r="M44" i="74"/>
  <c r="J57" i="74"/>
  <c r="J58" i="74"/>
  <c r="N43" i="74"/>
  <c r="K45" i="74"/>
  <c r="J61" i="74"/>
  <c r="J60" i="74"/>
  <c r="K44" i="74"/>
  <c r="AC20" i="28" l="1"/>
  <c r="AC135" i="28"/>
  <c r="AC136" i="28"/>
  <c r="G62" i="72"/>
  <c r="J62" i="72" s="1"/>
  <c r="G42" i="72"/>
  <c r="J42" i="72" s="1"/>
  <c r="G86" i="72"/>
  <c r="J86" i="72" s="1"/>
  <c r="G77" i="72"/>
  <c r="J77" i="72" s="1"/>
  <c r="M62" i="28"/>
  <c r="AO19" i="28"/>
  <c r="AQ19" i="28"/>
  <c r="AO18" i="28"/>
  <c r="AQ18" i="28"/>
  <c r="AB19" i="28"/>
  <c r="AD19" i="28"/>
  <c r="AB18" i="28"/>
  <c r="AD18" i="28"/>
  <c r="Z19" i="28"/>
  <c r="AA19" i="28"/>
  <c r="Z18" i="28"/>
  <c r="AA18" i="28"/>
  <c r="X19" i="28"/>
  <c r="Y19" i="28"/>
  <c r="X18" i="28"/>
  <c r="Y18" i="28"/>
  <c r="V19" i="28"/>
  <c r="W19" i="28"/>
  <c r="V18" i="28"/>
  <c r="W18" i="28"/>
  <c r="U18" i="28"/>
  <c r="T18" i="28"/>
  <c r="R18" i="28"/>
  <c r="U19" i="28"/>
  <c r="R19" i="28"/>
  <c r="T19" i="28"/>
  <c r="G52" i="72"/>
  <c r="J52" i="72" s="1"/>
  <c r="G81" i="72"/>
  <c r="J81" i="72" s="1"/>
  <c r="G87" i="72"/>
  <c r="J87" i="72" s="1"/>
  <c r="G30" i="72"/>
  <c r="J30" i="72" s="1"/>
  <c r="J33" i="72" s="1"/>
  <c r="G25" i="72"/>
  <c r="J25" i="72" s="1"/>
  <c r="J28" i="72" s="1"/>
  <c r="G72" i="72"/>
  <c r="J72" i="72" s="1"/>
  <c r="G112" i="72"/>
  <c r="J112" i="72" s="1"/>
  <c r="J23" i="74"/>
  <c r="G50" i="72"/>
  <c r="J50" i="72" s="1"/>
  <c r="J53" i="72" s="1"/>
  <c r="G47" i="72"/>
  <c r="J47" i="72" s="1"/>
  <c r="G70" i="72"/>
  <c r="J70" i="72" s="1"/>
  <c r="J73" i="72" s="1"/>
  <c r="G55" i="72"/>
  <c r="J55" i="72" s="1"/>
  <c r="J58" i="72" s="1"/>
  <c r="G100" i="72"/>
  <c r="J100" i="72" s="1"/>
  <c r="J103" i="72" s="1"/>
  <c r="I88" i="72"/>
  <c r="G20" i="72"/>
  <c r="J20" i="72" s="1"/>
  <c r="J23" i="72" s="1"/>
  <c r="G105" i="72"/>
  <c r="J105" i="72" s="1"/>
  <c r="J108" i="72" s="1"/>
  <c r="G35" i="72"/>
  <c r="J35" i="72" s="1"/>
  <c r="J38" i="72" s="1"/>
  <c r="G37" i="72"/>
  <c r="J37" i="72" s="1"/>
  <c r="G45" i="72"/>
  <c r="J45" i="72" s="1"/>
  <c r="J48" i="72" s="1"/>
  <c r="I33" i="72"/>
  <c r="G80" i="72"/>
  <c r="J80" i="72" s="1"/>
  <c r="J83" i="72" s="1"/>
  <c r="M58" i="28"/>
  <c r="M59" i="28" s="1"/>
  <c r="M60" i="28" s="1"/>
  <c r="M19" i="28"/>
  <c r="I28" i="72"/>
  <c r="G22" i="72"/>
  <c r="J22" i="72" s="1"/>
  <c r="G116" i="72"/>
  <c r="J116" i="72" s="1"/>
  <c r="I53" i="72"/>
  <c r="I48" i="72"/>
  <c r="G107" i="72"/>
  <c r="J107" i="72" s="1"/>
  <c r="G65" i="72"/>
  <c r="J65" i="72" s="1"/>
  <c r="J68" i="72" s="1"/>
  <c r="G67" i="72"/>
  <c r="J67" i="72" s="1"/>
  <c r="G56" i="72"/>
  <c r="J56" i="72" s="1"/>
  <c r="I113" i="72"/>
  <c r="I103" i="72"/>
  <c r="G97" i="72"/>
  <c r="J97" i="72" s="1"/>
  <c r="I78" i="72"/>
  <c r="I58" i="72"/>
  <c r="I38" i="72"/>
  <c r="I68" i="72"/>
  <c r="I73" i="72"/>
  <c r="G96" i="72"/>
  <c r="J96" i="72" s="1"/>
  <c r="G27" i="72"/>
  <c r="J27" i="72" s="1"/>
  <c r="G76" i="72"/>
  <c r="J76" i="72" s="1"/>
  <c r="G40" i="72"/>
  <c r="J40" i="72" s="1"/>
  <c r="J43" i="72" s="1"/>
  <c r="G101" i="72"/>
  <c r="J101" i="72" s="1"/>
  <c r="G60" i="72"/>
  <c r="J60" i="72" s="1"/>
  <c r="J63" i="72" s="1"/>
  <c r="I118" i="72"/>
  <c r="I83" i="72"/>
  <c r="G66" i="72"/>
  <c r="J66" i="72" s="1"/>
  <c r="I63" i="72"/>
  <c r="I43" i="72"/>
  <c r="I23" i="72"/>
  <c r="F36" i="72"/>
  <c r="G36" i="72" s="1"/>
  <c r="J36" i="72" s="1"/>
  <c r="G75" i="72"/>
  <c r="J75" i="72" s="1"/>
  <c r="J78" i="72" s="1"/>
  <c r="F41" i="72"/>
  <c r="G41" i="72" s="1"/>
  <c r="J41" i="72" s="1"/>
  <c r="G106" i="72"/>
  <c r="J106" i="72" s="1"/>
  <c r="G117" i="72"/>
  <c r="J117" i="72" s="1"/>
  <c r="G102" i="72"/>
  <c r="J102" i="72" s="1"/>
  <c r="I98" i="72"/>
  <c r="G85" i="72"/>
  <c r="J85" i="72" s="1"/>
  <c r="J88" i="72" s="1"/>
  <c r="F71" i="72"/>
  <c r="G71" i="72" s="1"/>
  <c r="J71" i="72" s="1"/>
  <c r="G51" i="72"/>
  <c r="J51" i="72" s="1"/>
  <c r="G95" i="72"/>
  <c r="J95" i="72" s="1"/>
  <c r="J98" i="72" s="1"/>
  <c r="G110" i="72"/>
  <c r="J110" i="72" s="1"/>
  <c r="J113" i="72" s="1"/>
  <c r="I108" i="72"/>
  <c r="I93" i="72"/>
  <c r="I18" i="72"/>
  <c r="F61" i="72"/>
  <c r="G61" i="72" s="1"/>
  <c r="J61" i="72" s="1"/>
  <c r="F26" i="72"/>
  <c r="G26" i="72" s="1"/>
  <c r="J26" i="72" s="1"/>
  <c r="G115" i="72"/>
  <c r="J115" i="72" s="1"/>
  <c r="J118" i="72" s="1"/>
  <c r="J119" i="72" s="1"/>
  <c r="F31" i="72"/>
  <c r="G31" i="72" s="1"/>
  <c r="J31" i="72" s="1"/>
  <c r="G90" i="72"/>
  <c r="J90" i="72" s="1"/>
  <c r="J93" i="72" s="1"/>
  <c r="J20" i="28"/>
  <c r="N41" i="74"/>
  <c r="L47" i="74"/>
  <c r="K46" i="74"/>
  <c r="M46" i="74"/>
  <c r="N46" i="74"/>
  <c r="M47" i="74"/>
  <c r="N47" i="74"/>
  <c r="K47" i="74"/>
  <c r="I63" i="28"/>
  <c r="AC63" i="28" s="1"/>
  <c r="J77" i="74"/>
  <c r="J78" i="74" s="1"/>
  <c r="M41" i="74"/>
  <c r="L42" i="74"/>
  <c r="L46" i="74"/>
  <c r="N45" i="74"/>
  <c r="L45" i="74"/>
  <c r="O11" i="28"/>
  <c r="K43" i="74"/>
  <c r="L43" i="74"/>
  <c r="K93" i="74"/>
  <c r="L93" i="74"/>
  <c r="L94" i="74"/>
  <c r="M42" i="74"/>
  <c r="K42" i="74"/>
  <c r="J32" i="74"/>
  <c r="J38" i="74" s="1"/>
  <c r="L41" i="74"/>
  <c r="K41" i="74"/>
  <c r="N44" i="74"/>
  <c r="L44" i="74"/>
  <c r="K94" i="74"/>
  <c r="N42" i="74"/>
  <c r="M45" i="74"/>
  <c r="M102" i="28"/>
  <c r="M18" i="28"/>
  <c r="M122" i="28"/>
  <c r="M70" i="28"/>
  <c r="AS11" i="28"/>
  <c r="AS14" i="28" s="1"/>
  <c r="L11" i="28"/>
  <c r="L14" i="28" s="1"/>
  <c r="M43" i="74"/>
  <c r="AH11" i="28"/>
  <c r="AH14" i="28" s="1"/>
  <c r="Q11" i="28"/>
  <c r="Q14" i="28" s="1"/>
  <c r="N16" i="74"/>
  <c r="N17" i="74" s="1"/>
  <c r="M16" i="74"/>
  <c r="M17" i="74" s="1"/>
  <c r="K16" i="74"/>
  <c r="K17" i="74" s="1"/>
  <c r="K11" i="28"/>
  <c r="K14" i="28" s="1"/>
  <c r="L16" i="74"/>
  <c r="L17" i="74" s="1"/>
  <c r="AC52" i="28" l="1"/>
  <c r="AC28" i="28"/>
  <c r="AC24" i="28"/>
  <c r="AC29" i="28"/>
  <c r="AC25" i="28"/>
  <c r="AC30" i="28"/>
  <c r="AC31" i="28"/>
  <c r="AC32" i="28"/>
  <c r="AC64" i="28" s="1"/>
  <c r="AC65" i="28" s="1"/>
  <c r="AC66" i="28" s="1"/>
  <c r="AC26" i="28"/>
  <c r="L62" i="28"/>
  <c r="L63" i="28" s="1"/>
  <c r="K58" i="28"/>
  <c r="K59" i="28" s="1"/>
  <c r="K60" i="28" s="1"/>
  <c r="AO20" i="28"/>
  <c r="AQ20" i="28"/>
  <c r="AQ135" i="28"/>
  <c r="AO63" i="28"/>
  <c r="AQ63" i="28"/>
  <c r="AO135" i="28"/>
  <c r="AB20" i="28"/>
  <c r="Z20" i="28"/>
  <c r="AB63" i="28"/>
  <c r="AD63" i="28"/>
  <c r="AD135" i="28"/>
  <c r="AD20" i="28"/>
  <c r="AB135" i="28"/>
  <c r="X20" i="28"/>
  <c r="Z63" i="28"/>
  <c r="AA63" i="28"/>
  <c r="AA20" i="28"/>
  <c r="AA135" i="28"/>
  <c r="Z135" i="28"/>
  <c r="V20" i="28"/>
  <c r="Y20" i="28"/>
  <c r="Y135" i="28"/>
  <c r="X63" i="28"/>
  <c r="Y63" i="28"/>
  <c r="X135" i="28"/>
  <c r="V63" i="28"/>
  <c r="W63" i="28"/>
  <c r="W135" i="28"/>
  <c r="W20" i="28"/>
  <c r="U20" i="28"/>
  <c r="V135" i="28"/>
  <c r="T63" i="28"/>
  <c r="R63" i="28"/>
  <c r="R20" i="28"/>
  <c r="R135" i="28"/>
  <c r="T135" i="28"/>
  <c r="T20" i="28"/>
  <c r="M63" i="28"/>
  <c r="U63" i="28"/>
  <c r="U135" i="28"/>
  <c r="AS58" i="28"/>
  <c r="AS59" i="28" s="1"/>
  <c r="AS60" i="28" s="1"/>
  <c r="AS62" i="28"/>
  <c r="K62" i="28"/>
  <c r="Q58" i="28"/>
  <c r="Q59" i="28" s="1"/>
  <c r="Q60" i="28" s="1"/>
  <c r="Q62" i="28"/>
  <c r="AH58" i="28"/>
  <c r="AH59" i="28" s="1"/>
  <c r="AH60" i="28" s="1"/>
  <c r="AH62" i="28"/>
  <c r="M135" i="28"/>
  <c r="K19" i="28"/>
  <c r="I119" i="72"/>
  <c r="L70" i="28"/>
  <c r="L58" i="28"/>
  <c r="L59" i="28" s="1"/>
  <c r="L60" i="28" s="1"/>
  <c r="N48" i="74"/>
  <c r="N53" i="74" s="1"/>
  <c r="J79" i="74"/>
  <c r="J80" i="74" s="1"/>
  <c r="K80" i="74" s="1"/>
  <c r="L48" i="74"/>
  <c r="L53" i="74" s="1"/>
  <c r="L102" i="28"/>
  <c r="O14" i="28"/>
  <c r="L122" i="28"/>
  <c r="K48" i="74"/>
  <c r="K53" i="74" s="1"/>
  <c r="M93" i="74"/>
  <c r="N93" i="74"/>
  <c r="M48" i="74"/>
  <c r="M53" i="74" s="1"/>
  <c r="M20" i="28"/>
  <c r="Q122" i="28"/>
  <c r="Q19" i="28"/>
  <c r="Q70" i="28"/>
  <c r="Q18" i="28"/>
  <c r="Q135" i="28" s="1"/>
  <c r="Q102" i="28"/>
  <c r="L18" i="28"/>
  <c r="L135" i="28" s="1"/>
  <c r="L19" i="28"/>
  <c r="AS18" i="28"/>
  <c r="AS135" i="28" s="1"/>
  <c r="AS70" i="28"/>
  <c r="AS122" i="28"/>
  <c r="AS102" i="28"/>
  <c r="AS19" i="28"/>
  <c r="AH18" i="28"/>
  <c r="AH135" i="28" s="1"/>
  <c r="AH122" i="28"/>
  <c r="AH70" i="28"/>
  <c r="AH19" i="28"/>
  <c r="AH102" i="28"/>
  <c r="N72" i="74"/>
  <c r="N73" i="74"/>
  <c r="N22" i="74"/>
  <c r="N74" i="74"/>
  <c r="N100" i="74"/>
  <c r="N25" i="74"/>
  <c r="N76" i="74"/>
  <c r="N75" i="74"/>
  <c r="N77" i="74"/>
  <c r="N78" i="74"/>
  <c r="N71" i="74"/>
  <c r="N81" i="74" s="1"/>
  <c r="N88" i="74" s="1"/>
  <c r="N90" i="74" s="1"/>
  <c r="N21" i="74"/>
  <c r="N64" i="74"/>
  <c r="N119" i="74"/>
  <c r="M119" i="74"/>
  <c r="M77" i="74"/>
  <c r="M74" i="74"/>
  <c r="M21" i="74"/>
  <c r="M100" i="74"/>
  <c r="M22" i="74"/>
  <c r="M73" i="74"/>
  <c r="M76" i="74"/>
  <c r="M64" i="74"/>
  <c r="M25" i="74"/>
  <c r="M78" i="74"/>
  <c r="M71" i="74"/>
  <c r="M81" i="74" s="1"/>
  <c r="M88" i="74" s="1"/>
  <c r="M90" i="74" s="1"/>
  <c r="M75" i="74"/>
  <c r="M72" i="74"/>
  <c r="K70" i="28"/>
  <c r="K18" i="28"/>
  <c r="K135" i="28" s="1"/>
  <c r="K102" i="28"/>
  <c r="K122" i="28"/>
  <c r="L75" i="74"/>
  <c r="L73" i="74"/>
  <c r="L76" i="74"/>
  <c r="L25" i="74"/>
  <c r="L22" i="74"/>
  <c r="L119" i="74"/>
  <c r="L21" i="74"/>
  <c r="L78" i="74"/>
  <c r="L74" i="74"/>
  <c r="L64" i="74"/>
  <c r="L100" i="74"/>
  <c r="L71" i="74"/>
  <c r="L81" i="74" s="1"/>
  <c r="L88" i="74" s="1"/>
  <c r="L90" i="74" s="1"/>
  <c r="L77" i="74"/>
  <c r="L72" i="74"/>
  <c r="K119" i="74"/>
  <c r="K22" i="74"/>
  <c r="K71" i="74"/>
  <c r="K81" i="74" s="1"/>
  <c r="K88" i="74" s="1"/>
  <c r="K90" i="74" s="1"/>
  <c r="K74" i="74"/>
  <c r="K100" i="74"/>
  <c r="K25" i="74"/>
  <c r="K73" i="74"/>
  <c r="K77" i="74"/>
  <c r="K78" i="74"/>
  <c r="K72" i="74"/>
  <c r="K64" i="74"/>
  <c r="K76" i="74"/>
  <c r="K21" i="74"/>
  <c r="K75" i="74"/>
  <c r="AI11" i="28"/>
  <c r="AI14" i="28" s="1"/>
  <c r="AP11" i="28"/>
  <c r="AP14" i="28" s="1"/>
  <c r="P11" i="28"/>
  <c r="P14" i="28" s="1"/>
  <c r="AR11" i="28"/>
  <c r="AR14" i="28" s="1"/>
  <c r="N11" i="28"/>
  <c r="N14" i="28" s="1"/>
  <c r="AE11" i="28"/>
  <c r="AE14" i="28" s="1"/>
  <c r="AM11" i="28"/>
  <c r="AM14" i="28" s="1"/>
  <c r="AF11" i="28"/>
  <c r="AF14" i="28" s="1"/>
  <c r="AJ11" i="28"/>
  <c r="AJ14" i="28" s="1"/>
  <c r="AL11" i="28"/>
  <c r="AL14" i="28" s="1"/>
  <c r="AG11" i="28"/>
  <c r="AG14" i="28" s="1"/>
  <c r="AK11" i="28"/>
  <c r="AK14" i="28" s="1"/>
  <c r="AT11" i="28"/>
  <c r="AT14" i="28" s="1"/>
  <c r="AN11" i="28"/>
  <c r="AN14" i="28" s="1"/>
  <c r="AC104" i="28" l="1"/>
  <c r="AC72" i="28"/>
  <c r="AC124" i="28"/>
  <c r="AC138" i="28"/>
  <c r="AC134" i="28" s="1"/>
  <c r="AC33" i="28"/>
  <c r="AC53" i="28" s="1"/>
  <c r="AB52" i="28"/>
  <c r="AO26" i="28"/>
  <c r="V136" i="28"/>
  <c r="AG62" i="28"/>
  <c r="AG63" i="28" s="1"/>
  <c r="O62" i="28"/>
  <c r="O63" i="28" s="1"/>
  <c r="Z30" i="28"/>
  <c r="U32" i="28"/>
  <c r="U64" i="28" s="1"/>
  <c r="U65" i="28" s="1"/>
  <c r="U66" i="28" s="1"/>
  <c r="AB136" i="28"/>
  <c r="AO32" i="28"/>
  <c r="AO64" i="28" s="1"/>
  <c r="AO65" i="28" s="1"/>
  <c r="AO66" i="28" s="1"/>
  <c r="AO124" i="28" s="1"/>
  <c r="X136" i="28"/>
  <c r="AO136" i="28"/>
  <c r="Z28" i="28"/>
  <c r="AO52" i="28"/>
  <c r="Z26" i="28"/>
  <c r="AO24" i="28"/>
  <c r="AO30" i="28"/>
  <c r="AO25" i="28"/>
  <c r="AO29" i="28"/>
  <c r="AO31" i="28"/>
  <c r="AO28" i="28"/>
  <c r="Z31" i="28"/>
  <c r="Z52" i="28"/>
  <c r="Z24" i="28"/>
  <c r="Z25" i="28"/>
  <c r="Z32" i="28"/>
  <c r="Z64" i="28" s="1"/>
  <c r="Z65" i="28" s="1"/>
  <c r="Z66" i="28" s="1"/>
  <c r="Z72" i="28" s="1"/>
  <c r="Z136" i="28"/>
  <c r="X24" i="28"/>
  <c r="AQ52" i="28"/>
  <c r="AQ136" i="28"/>
  <c r="AQ28" i="28"/>
  <c r="AQ30" i="28"/>
  <c r="AQ24" i="28"/>
  <c r="AQ25" i="28"/>
  <c r="AQ29" i="28"/>
  <c r="AQ32" i="28"/>
  <c r="AQ64" i="28" s="1"/>
  <c r="AQ65" i="28" s="1"/>
  <c r="AQ66" i="28" s="1"/>
  <c r="AQ31" i="28"/>
  <c r="AQ26" i="28"/>
  <c r="AB30" i="28"/>
  <c r="Z29" i="28"/>
  <c r="V52" i="28"/>
  <c r="V32" i="28"/>
  <c r="V64" i="28" s="1"/>
  <c r="V65" i="28" s="1"/>
  <c r="V66" i="28" s="1"/>
  <c r="V72" i="28" s="1"/>
  <c r="X29" i="28"/>
  <c r="V29" i="28"/>
  <c r="V30" i="28"/>
  <c r="X25" i="28"/>
  <c r="V24" i="28"/>
  <c r="X31" i="28"/>
  <c r="V31" i="28"/>
  <c r="X32" i="28"/>
  <c r="X64" i="28" s="1"/>
  <c r="X65" i="28" s="1"/>
  <c r="X66" i="28" s="1"/>
  <c r="X72" i="28" s="1"/>
  <c r="V25" i="28"/>
  <c r="X28" i="28"/>
  <c r="V28" i="28"/>
  <c r="X30" i="28"/>
  <c r="X52" i="28"/>
  <c r="V26" i="28"/>
  <c r="X26" i="28"/>
  <c r="AB25" i="28"/>
  <c r="AB29" i="28"/>
  <c r="AB24" i="28"/>
  <c r="AB28" i="28"/>
  <c r="AB31" i="28"/>
  <c r="AB32" i="28"/>
  <c r="AB64" i="28" s="1"/>
  <c r="AB65" i="28" s="1"/>
  <c r="AB66" i="28" s="1"/>
  <c r="AB124" i="28" s="1"/>
  <c r="AB26" i="28"/>
  <c r="U28" i="28"/>
  <c r="U31" i="28"/>
  <c r="U136" i="28"/>
  <c r="AD52" i="28"/>
  <c r="AD136" i="28"/>
  <c r="AD32" i="28"/>
  <c r="AD64" i="28" s="1"/>
  <c r="AD65" i="28" s="1"/>
  <c r="AD66" i="28" s="1"/>
  <c r="AD28" i="28"/>
  <c r="AD29" i="28"/>
  <c r="AD31" i="28"/>
  <c r="AD25" i="28"/>
  <c r="AD24" i="28"/>
  <c r="AD30" i="28"/>
  <c r="AD26" i="28"/>
  <c r="U26" i="28"/>
  <c r="U52" i="28"/>
  <c r="U30" i="28"/>
  <c r="U29" i="28"/>
  <c r="U25" i="28"/>
  <c r="U24" i="28"/>
  <c r="AA52" i="28"/>
  <c r="AA136" i="28"/>
  <c r="AA28" i="28"/>
  <c r="AA31" i="28"/>
  <c r="AA25" i="28"/>
  <c r="AA30" i="28"/>
  <c r="AA24" i="28"/>
  <c r="AA29" i="28"/>
  <c r="AA32" i="28"/>
  <c r="AA64" i="28" s="1"/>
  <c r="AA65" i="28" s="1"/>
  <c r="AA66" i="28" s="1"/>
  <c r="AA26" i="28"/>
  <c r="Y52" i="28"/>
  <c r="Y136" i="28"/>
  <c r="Y28" i="28"/>
  <c r="Y24" i="28"/>
  <c r="Y31" i="28"/>
  <c r="Y25" i="28"/>
  <c r="Y32" i="28"/>
  <c r="Y64" i="28" s="1"/>
  <c r="Y65" i="28" s="1"/>
  <c r="Y66" i="28" s="1"/>
  <c r="Y30" i="28"/>
  <c r="Y29" i="28"/>
  <c r="Y26" i="28"/>
  <c r="W52" i="28"/>
  <c r="W136" i="28"/>
  <c r="W28" i="28"/>
  <c r="W25" i="28"/>
  <c r="W29" i="28"/>
  <c r="W24" i="28"/>
  <c r="W30" i="28"/>
  <c r="W32" i="28"/>
  <c r="W64" i="28" s="1"/>
  <c r="W65" i="28" s="1"/>
  <c r="W66" i="28" s="1"/>
  <c r="W31" i="28"/>
  <c r="W26" i="28"/>
  <c r="R52" i="28"/>
  <c r="R136" i="28"/>
  <c r="R30" i="28"/>
  <c r="R31" i="28"/>
  <c r="R29" i="28"/>
  <c r="R24" i="28"/>
  <c r="R28" i="28"/>
  <c r="R32" i="28"/>
  <c r="R64" i="28" s="1"/>
  <c r="R65" i="28" s="1"/>
  <c r="R66" i="28" s="1"/>
  <c r="R25" i="28"/>
  <c r="R26" i="28"/>
  <c r="T31" i="28"/>
  <c r="T136" i="28"/>
  <c r="T52" i="28"/>
  <c r="T25" i="28"/>
  <c r="T30" i="28"/>
  <c r="T29" i="28"/>
  <c r="T24" i="28"/>
  <c r="T28" i="28"/>
  <c r="T32" i="28"/>
  <c r="T64" i="28" s="1"/>
  <c r="T65" i="28" s="1"/>
  <c r="T66" i="28" s="1"/>
  <c r="T26" i="28"/>
  <c r="AN58" i="28"/>
  <c r="AN59" i="28" s="1"/>
  <c r="AN60" i="28" s="1"/>
  <c r="AN62" i="28"/>
  <c r="AF58" i="28"/>
  <c r="AF59" i="28" s="1"/>
  <c r="AF60" i="28" s="1"/>
  <c r="AF62" i="28"/>
  <c r="N58" i="28"/>
  <c r="N59" i="28" s="1"/>
  <c r="N60" i="28" s="1"/>
  <c r="N62" i="28"/>
  <c r="AR58" i="28"/>
  <c r="AR59" i="28" s="1"/>
  <c r="AR60" i="28" s="1"/>
  <c r="AR62" i="28"/>
  <c r="AM58" i="28"/>
  <c r="AM59" i="28" s="1"/>
  <c r="AM60" i="28" s="1"/>
  <c r="AM62" i="28"/>
  <c r="P58" i="28"/>
  <c r="P59" i="28" s="1"/>
  <c r="P60" i="28" s="1"/>
  <c r="P62" i="28"/>
  <c r="AH63" i="28"/>
  <c r="K63" i="28"/>
  <c r="AT58" i="28"/>
  <c r="AT59" i="28" s="1"/>
  <c r="AT60" i="28" s="1"/>
  <c r="AT62" i="28"/>
  <c r="AL58" i="28"/>
  <c r="AL59" i="28" s="1"/>
  <c r="AL60" i="28" s="1"/>
  <c r="AL62" i="28"/>
  <c r="AE58" i="28"/>
  <c r="AE59" i="28" s="1"/>
  <c r="AE60" i="28" s="1"/>
  <c r="AE62" i="28"/>
  <c r="AP58" i="28"/>
  <c r="AP59" i="28" s="1"/>
  <c r="AP60" i="28" s="1"/>
  <c r="AP62" i="28"/>
  <c r="AK58" i="28"/>
  <c r="AK59" i="28" s="1"/>
  <c r="AK60" i="28" s="1"/>
  <c r="AK62" i="28"/>
  <c r="AJ58" i="28"/>
  <c r="AJ59" i="28" s="1"/>
  <c r="AJ60" i="28" s="1"/>
  <c r="AJ62" i="28"/>
  <c r="AI58" i="28"/>
  <c r="AI59" i="28" s="1"/>
  <c r="AI60" i="28" s="1"/>
  <c r="AI62" i="28"/>
  <c r="Q63" i="28"/>
  <c r="AS63" i="28"/>
  <c r="AG58" i="28"/>
  <c r="AG59" i="28" s="1"/>
  <c r="AG60" i="28" s="1"/>
  <c r="AG122" i="28"/>
  <c r="M28" i="28"/>
  <c r="M136" i="28"/>
  <c r="O102" i="28"/>
  <c r="O58" i="28"/>
  <c r="O59" i="28" s="1"/>
  <c r="O60" i="28" s="1"/>
  <c r="L79" i="74"/>
  <c r="M79" i="74"/>
  <c r="K79" i="74"/>
  <c r="N79" i="74"/>
  <c r="L80" i="74"/>
  <c r="N80" i="74"/>
  <c r="O70" i="28"/>
  <c r="M80" i="74"/>
  <c r="O18" i="28"/>
  <c r="O135" i="28" s="1"/>
  <c r="O122" i="28"/>
  <c r="O19" i="28"/>
  <c r="L23" i="74"/>
  <c r="L51" i="74" s="1"/>
  <c r="K23" i="74"/>
  <c r="K51" i="74" s="1"/>
  <c r="N23" i="74"/>
  <c r="N51" i="74" s="1"/>
  <c r="M52" i="28"/>
  <c r="M31" i="28"/>
  <c r="M32" i="28"/>
  <c r="M26" i="28"/>
  <c r="M24" i="28"/>
  <c r="M30" i="28"/>
  <c r="M25" i="28"/>
  <c r="M29" i="28"/>
  <c r="Q20" i="28"/>
  <c r="L20" i="28"/>
  <c r="M122" i="74"/>
  <c r="M103" i="74"/>
  <c r="N103" i="74"/>
  <c r="N122" i="74"/>
  <c r="AH20" i="28"/>
  <c r="M23" i="74"/>
  <c r="AS20" i="28"/>
  <c r="AJ18" i="28"/>
  <c r="AJ135" i="28" s="1"/>
  <c r="AJ70" i="28"/>
  <c r="AJ19" i="28"/>
  <c r="AJ102" i="28"/>
  <c r="AJ122" i="28"/>
  <c r="AF70" i="28"/>
  <c r="AF102" i="28"/>
  <c r="AF19" i="28"/>
  <c r="AF18" i="28"/>
  <c r="AF135" i="28" s="1"/>
  <c r="AF122" i="28"/>
  <c r="AK102" i="28"/>
  <c r="AK122" i="28"/>
  <c r="AK19" i="28"/>
  <c r="AK70" i="28"/>
  <c r="AK18" i="28"/>
  <c r="AK135" i="28" s="1"/>
  <c r="AL122" i="28"/>
  <c r="AL70" i="28"/>
  <c r="AL18" i="28"/>
  <c r="AL135" i="28" s="1"/>
  <c r="AL102" i="28"/>
  <c r="AL19" i="28"/>
  <c r="K20" i="28"/>
  <c r="K26" i="28" s="1"/>
  <c r="AM19" i="28"/>
  <c r="AM122" i="28"/>
  <c r="AM70" i="28"/>
  <c r="AM102" i="28"/>
  <c r="AM18" i="28"/>
  <c r="AM135" i="28" s="1"/>
  <c r="P70" i="28"/>
  <c r="P122" i="28"/>
  <c r="P18" i="28"/>
  <c r="P135" i="28" s="1"/>
  <c r="P102" i="28"/>
  <c r="P19" i="28"/>
  <c r="AI18" i="28"/>
  <c r="AI135" i="28" s="1"/>
  <c r="AI102" i="28"/>
  <c r="AI70" i="28"/>
  <c r="AI19" i="28"/>
  <c r="AI122" i="28"/>
  <c r="AN70" i="28"/>
  <c r="AN122" i="28"/>
  <c r="AN102" i="28"/>
  <c r="AN18" i="28"/>
  <c r="AN135" i="28" s="1"/>
  <c r="AN19" i="28"/>
  <c r="AT19" i="28"/>
  <c r="AT70" i="28"/>
  <c r="AT102" i="28"/>
  <c r="AT122" i="28"/>
  <c r="AT18" i="28"/>
  <c r="AT135" i="28" s="1"/>
  <c r="AG70" i="28"/>
  <c r="AG19" i="28"/>
  <c r="AG18" i="28"/>
  <c r="AG135" i="28" s="1"/>
  <c r="AG102" i="28"/>
  <c r="AE102" i="28"/>
  <c r="AE19" i="28"/>
  <c r="AE18" i="28"/>
  <c r="AE135" i="28" s="1"/>
  <c r="AE70" i="28"/>
  <c r="AE122" i="28"/>
  <c r="N70" i="28"/>
  <c r="N18" i="28"/>
  <c r="N135" i="28" s="1"/>
  <c r="N122" i="28"/>
  <c r="N102" i="28"/>
  <c r="N19" i="28"/>
  <c r="AR19" i="28"/>
  <c r="AR70" i="28"/>
  <c r="AR122" i="28"/>
  <c r="AR102" i="28"/>
  <c r="AR18" i="28"/>
  <c r="AR135" i="28" s="1"/>
  <c r="AP18" i="28"/>
  <c r="AP135" i="28" s="1"/>
  <c r="AP102" i="28"/>
  <c r="AP70" i="28"/>
  <c r="AP19" i="28"/>
  <c r="AP122" i="28"/>
  <c r="L103" i="74"/>
  <c r="L122" i="74"/>
  <c r="K122" i="74"/>
  <c r="K103" i="74"/>
  <c r="M96" i="74"/>
  <c r="N96" i="74"/>
  <c r="L96" i="74"/>
  <c r="K96" i="74"/>
  <c r="N95" i="74"/>
  <c r="N98" i="74" s="1"/>
  <c r="M95" i="74"/>
  <c r="M98" i="74" s="1"/>
  <c r="L95" i="74"/>
  <c r="L98" i="74" s="1"/>
  <c r="K95" i="74"/>
  <c r="K98" i="74" s="1"/>
  <c r="AS136" i="28" l="1"/>
  <c r="Q136" i="28"/>
  <c r="AH136" i="28"/>
  <c r="K136" i="28"/>
  <c r="L136" i="28"/>
  <c r="AO104" i="28"/>
  <c r="AO33" i="28"/>
  <c r="AO53" i="28" s="1"/>
  <c r="Z33" i="28"/>
  <c r="AO138" i="28"/>
  <c r="AO134" i="28" s="1"/>
  <c r="AO72" i="28"/>
  <c r="AQ72" i="28"/>
  <c r="AQ138" i="28"/>
  <c r="AQ134" i="28" s="1"/>
  <c r="AQ104" i="28"/>
  <c r="AQ124" i="28"/>
  <c r="AQ33" i="28"/>
  <c r="AQ53" i="28" s="1"/>
  <c r="X33" i="28"/>
  <c r="X53" i="28" s="1"/>
  <c r="AB104" i="28"/>
  <c r="AB33" i="28"/>
  <c r="AB53" i="28" s="1"/>
  <c r="V33" i="28"/>
  <c r="V53" i="28" s="1"/>
  <c r="AB138" i="28"/>
  <c r="AB134" i="28" s="1"/>
  <c r="AB72" i="28"/>
  <c r="V138" i="28"/>
  <c r="V134" i="28" s="1"/>
  <c r="AD33" i="28"/>
  <c r="AD53" i="28" s="1"/>
  <c r="Z124" i="28"/>
  <c r="Z104" i="28"/>
  <c r="AD72" i="28"/>
  <c r="AD138" i="28"/>
  <c r="AD134" i="28" s="1"/>
  <c r="AD104" i="28"/>
  <c r="AD124" i="28"/>
  <c r="U33" i="28"/>
  <c r="U53" i="28" s="1"/>
  <c r="Z138" i="28"/>
  <c r="Z134" i="28" s="1"/>
  <c r="X138" i="28"/>
  <c r="X134" i="28" s="1"/>
  <c r="AA33" i="28"/>
  <c r="AA53" i="28" s="1"/>
  <c r="AA72" i="28"/>
  <c r="AA138" i="28"/>
  <c r="AA134" i="28" s="1"/>
  <c r="AA104" i="28"/>
  <c r="AA124" i="28"/>
  <c r="V124" i="28"/>
  <c r="X124" i="28"/>
  <c r="V104" i="28"/>
  <c r="X104" i="28"/>
  <c r="Y72" i="28"/>
  <c r="Y138" i="28"/>
  <c r="Y134" i="28" s="1"/>
  <c r="Y104" i="28"/>
  <c r="Y124" i="28"/>
  <c r="Y33" i="28"/>
  <c r="Y53" i="28" s="1"/>
  <c r="W138" i="28"/>
  <c r="W134" i="28" s="1"/>
  <c r="W104" i="28"/>
  <c r="W124" i="28"/>
  <c r="W72" i="28"/>
  <c r="W33" i="28"/>
  <c r="W53" i="28" s="1"/>
  <c r="T33" i="28"/>
  <c r="T53" i="28" s="1"/>
  <c r="T72" i="28"/>
  <c r="T138" i="28"/>
  <c r="T134" i="28" s="1"/>
  <c r="T104" i="28"/>
  <c r="T124" i="28"/>
  <c r="R124" i="28"/>
  <c r="R138" i="28"/>
  <c r="R134" i="28" s="1"/>
  <c r="R72" i="28"/>
  <c r="R104" i="28"/>
  <c r="R33" i="28"/>
  <c r="R53" i="28" s="1"/>
  <c r="U124" i="28"/>
  <c r="U104" i="28"/>
  <c r="U138" i="28"/>
  <c r="U134" i="28" s="1"/>
  <c r="U72" i="28"/>
  <c r="AJ63" i="28"/>
  <c r="AL63" i="28"/>
  <c r="AR63" i="28"/>
  <c r="AF63" i="28"/>
  <c r="AN63" i="28"/>
  <c r="AI63" i="28"/>
  <c r="AK63" i="28"/>
  <c r="AP63" i="28"/>
  <c r="AE63" i="28"/>
  <c r="AT63" i="28"/>
  <c r="P63" i="28"/>
  <c r="AM63" i="28"/>
  <c r="N63" i="28"/>
  <c r="K26" i="74"/>
  <c r="K27" i="74" s="1"/>
  <c r="K56" i="74" s="1"/>
  <c r="K61" i="74" s="1"/>
  <c r="N26" i="74"/>
  <c r="N27" i="74" s="1"/>
  <c r="N31" i="74" s="1"/>
  <c r="O20" i="28"/>
  <c r="L26" i="74"/>
  <c r="L27" i="74" s="1"/>
  <c r="L31" i="74" s="1"/>
  <c r="M33" i="28"/>
  <c r="M61" i="28"/>
  <c r="M64" i="28"/>
  <c r="M65" i="28" s="1"/>
  <c r="L25" i="28"/>
  <c r="L26" i="28"/>
  <c r="L24" i="28"/>
  <c r="L28" i="28"/>
  <c r="L30" i="28"/>
  <c r="L52" i="28"/>
  <c r="L32" i="28"/>
  <c r="L31" i="28"/>
  <c r="L29" i="28"/>
  <c r="Q25" i="28"/>
  <c r="Q31" i="28"/>
  <c r="Q28" i="28"/>
  <c r="Q24" i="28"/>
  <c r="Q30" i="28"/>
  <c r="Q26" i="28"/>
  <c r="Q29" i="28"/>
  <c r="Q52" i="28"/>
  <c r="Q32" i="28"/>
  <c r="AH52" i="28"/>
  <c r="AH24" i="28"/>
  <c r="AH30" i="28"/>
  <c r="AH32" i="28"/>
  <c r="AH29" i="28"/>
  <c r="AH26" i="28"/>
  <c r="AH25" i="28"/>
  <c r="AH28" i="28"/>
  <c r="AH31" i="28"/>
  <c r="M51" i="74"/>
  <c r="M26" i="74"/>
  <c r="M27" i="74" s="1"/>
  <c r="AS52" i="28"/>
  <c r="AS25" i="28"/>
  <c r="AS28" i="28"/>
  <c r="AS30" i="28"/>
  <c r="AS29" i="28"/>
  <c r="AS24" i="28"/>
  <c r="AS32" i="28"/>
  <c r="AS26" i="28"/>
  <c r="AS31" i="28"/>
  <c r="AF20" i="28"/>
  <c r="AP20" i="28"/>
  <c r="AT20" i="28"/>
  <c r="N20" i="28"/>
  <c r="AR20" i="28"/>
  <c r="AE20" i="28"/>
  <c r="AN20" i="28"/>
  <c r="AJ20" i="28"/>
  <c r="P20" i="28"/>
  <c r="K52" i="28"/>
  <c r="K28" i="28"/>
  <c r="K24" i="28"/>
  <c r="K30" i="28"/>
  <c r="K25" i="28"/>
  <c r="K31" i="28"/>
  <c r="K29" i="28"/>
  <c r="K32" i="28"/>
  <c r="AG20" i="28"/>
  <c r="AI20" i="28"/>
  <c r="AM20" i="28"/>
  <c r="AL20" i="28"/>
  <c r="AK20" i="28"/>
  <c r="L104" i="74"/>
  <c r="L123" i="74"/>
  <c r="M104" i="74"/>
  <c r="M123" i="74"/>
  <c r="K104" i="74"/>
  <c r="K123" i="74"/>
  <c r="N104" i="74"/>
  <c r="N123" i="74"/>
  <c r="Z53" i="28" l="1"/>
  <c r="F76" i="76"/>
  <c r="G76" i="76" s="1"/>
  <c r="T20" i="76" s="1"/>
  <c r="Z41" i="28" s="1"/>
  <c r="Z48" i="28" s="1"/>
  <c r="M53" i="28"/>
  <c r="AN136" i="28"/>
  <c r="AE136" i="28"/>
  <c r="O136" i="28"/>
  <c r="AM136" i="28"/>
  <c r="AI136" i="28"/>
  <c r="AG136" i="28"/>
  <c r="AT136" i="28"/>
  <c r="N136" i="28"/>
  <c r="AP136" i="28"/>
  <c r="AR136" i="28"/>
  <c r="AK136" i="28"/>
  <c r="P136" i="28"/>
  <c r="AL136" i="28"/>
  <c r="AJ136" i="28"/>
  <c r="AF136" i="28"/>
  <c r="K64" i="28"/>
  <c r="K65" i="28" s="1"/>
  <c r="L58" i="74"/>
  <c r="N37" i="74"/>
  <c r="L32" i="74"/>
  <c r="N59" i="74"/>
  <c r="K60" i="74"/>
  <c r="K59" i="74"/>
  <c r="K58" i="74"/>
  <c r="K31" i="74"/>
  <c r="L59" i="74"/>
  <c r="K32" i="74"/>
  <c r="K33" i="74"/>
  <c r="K30" i="74"/>
  <c r="N36" i="74"/>
  <c r="L60" i="74"/>
  <c r="K57" i="74"/>
  <c r="K34" i="74"/>
  <c r="N32" i="74"/>
  <c r="N33" i="74"/>
  <c r="L57" i="74"/>
  <c r="L33" i="74"/>
  <c r="K35" i="74"/>
  <c r="K36" i="74"/>
  <c r="K37" i="74"/>
  <c r="N56" i="74"/>
  <c r="N61" i="74" s="1"/>
  <c r="N102" i="74" s="1"/>
  <c r="N35" i="74"/>
  <c r="L37" i="74"/>
  <c r="L30" i="74"/>
  <c r="L35" i="74"/>
  <c r="N57" i="74"/>
  <c r="N34" i="74"/>
  <c r="N58" i="74"/>
  <c r="L56" i="74"/>
  <c r="L61" i="74" s="1"/>
  <c r="L66" i="74" s="1"/>
  <c r="L34" i="74"/>
  <c r="L36" i="74"/>
  <c r="N30" i="74"/>
  <c r="N60" i="74"/>
  <c r="O30" i="28"/>
  <c r="O24" i="28"/>
  <c r="O32" i="28"/>
  <c r="O29" i="28"/>
  <c r="O31" i="28"/>
  <c r="O25" i="28"/>
  <c r="O26" i="28"/>
  <c r="O52" i="28"/>
  <c r="O28" i="28"/>
  <c r="Q33" i="28"/>
  <c r="Q53" i="28" s="1"/>
  <c r="M66" i="28"/>
  <c r="F77" i="76" s="1"/>
  <c r="G77" i="76" s="1"/>
  <c r="T23" i="76" s="1"/>
  <c r="AC41" i="28" s="1"/>
  <c r="AC48" i="28" s="1"/>
  <c r="AC54" i="28" s="1"/>
  <c r="AC55" i="28" s="1"/>
  <c r="L61" i="28"/>
  <c r="L64" i="28"/>
  <c r="L65" i="28" s="1"/>
  <c r="L33" i="28"/>
  <c r="L53" i="28" s="1"/>
  <c r="Q61" i="28"/>
  <c r="Q64" i="28"/>
  <c r="Q65" i="28" s="1"/>
  <c r="AS61" i="28"/>
  <c r="AS64" i="28"/>
  <c r="AS65" i="28" s="1"/>
  <c r="M30" i="74"/>
  <c r="M59" i="74"/>
  <c r="M37" i="74"/>
  <c r="M56" i="74"/>
  <c r="M61" i="74" s="1"/>
  <c r="M35" i="74"/>
  <c r="M57" i="74"/>
  <c r="M60" i="74"/>
  <c r="M33" i="74"/>
  <c r="M32" i="74"/>
  <c r="M36" i="74"/>
  <c r="M31" i="74"/>
  <c r="M34" i="74"/>
  <c r="M58" i="74"/>
  <c r="AS33" i="28"/>
  <c r="AS53" i="28" s="1"/>
  <c r="AH33" i="28"/>
  <c r="AH53" i="28" s="1"/>
  <c r="AH64" i="28"/>
  <c r="AH65" i="28" s="1"/>
  <c r="AH61" i="28"/>
  <c r="AR52" i="28"/>
  <c r="AR30" i="28"/>
  <c r="AR32" i="28"/>
  <c r="AR26" i="28"/>
  <c r="AR25" i="28"/>
  <c r="AR24" i="28"/>
  <c r="AR28" i="28"/>
  <c r="AR29" i="28"/>
  <c r="AR31" i="28"/>
  <c r="AL52" i="28"/>
  <c r="AL31" i="28"/>
  <c r="AL32" i="28"/>
  <c r="AL29" i="28"/>
  <c r="AL24" i="28"/>
  <c r="AL25" i="28"/>
  <c r="AL28" i="28"/>
  <c r="AL26" i="28"/>
  <c r="AL30" i="28"/>
  <c r="AJ52" i="28"/>
  <c r="AJ30" i="28"/>
  <c r="AJ31" i="28"/>
  <c r="AJ26" i="28"/>
  <c r="AJ29" i="28"/>
  <c r="AJ32" i="28"/>
  <c r="AJ25" i="28"/>
  <c r="AJ24" i="28"/>
  <c r="AJ28" i="28"/>
  <c r="AN52" i="28"/>
  <c r="AN25" i="28"/>
  <c r="AN24" i="28"/>
  <c r="AN28" i="28"/>
  <c r="AN30" i="28"/>
  <c r="AN29" i="28"/>
  <c r="AN31" i="28"/>
  <c r="AN26" i="28"/>
  <c r="AN32" i="28"/>
  <c r="AG52" i="28"/>
  <c r="AG25" i="28"/>
  <c r="AG31" i="28"/>
  <c r="AG29" i="28"/>
  <c r="AG28" i="28"/>
  <c r="AG24" i="28"/>
  <c r="AG30" i="28"/>
  <c r="AG26" i="28"/>
  <c r="AG32" i="28"/>
  <c r="N52" i="28"/>
  <c r="N29" i="28"/>
  <c r="N31" i="28"/>
  <c r="N25" i="28"/>
  <c r="N26" i="28"/>
  <c r="N30" i="28"/>
  <c r="N32" i="28"/>
  <c r="N24" i="28"/>
  <c r="N28" i="28"/>
  <c r="AT52" i="28"/>
  <c r="AT24" i="28"/>
  <c r="AT29" i="28"/>
  <c r="AT31" i="28"/>
  <c r="AT26" i="28"/>
  <c r="AT28" i="28"/>
  <c r="AT25" i="28"/>
  <c r="AT32" i="28"/>
  <c r="AT30" i="28"/>
  <c r="AM52" i="28"/>
  <c r="AM24" i="28"/>
  <c r="AM25" i="28"/>
  <c r="AM30" i="28"/>
  <c r="AM28" i="28"/>
  <c r="AM29" i="28"/>
  <c r="AM32" i="28"/>
  <c r="AM26" i="28"/>
  <c r="AM31" i="28"/>
  <c r="AI52" i="28"/>
  <c r="AI28" i="28"/>
  <c r="AI25" i="28"/>
  <c r="AI29" i="28"/>
  <c r="AI30" i="28"/>
  <c r="AI31" i="28"/>
  <c r="AI24" i="28"/>
  <c r="AI26" i="28"/>
  <c r="AI32" i="28"/>
  <c r="K33" i="28"/>
  <c r="AP52" i="28"/>
  <c r="AP31" i="28"/>
  <c r="AP28" i="28"/>
  <c r="AP26" i="28"/>
  <c r="AP29" i="28"/>
  <c r="AP30" i="28"/>
  <c r="AP25" i="28"/>
  <c r="AP32" i="28"/>
  <c r="AP24" i="28"/>
  <c r="K102" i="74"/>
  <c r="K66" i="74"/>
  <c r="K121" i="74"/>
  <c r="K61" i="28"/>
  <c r="P52" i="28"/>
  <c r="P31" i="28"/>
  <c r="P28" i="28"/>
  <c r="P25" i="28"/>
  <c r="P32" i="28"/>
  <c r="P26" i="28"/>
  <c r="P30" i="28"/>
  <c r="P24" i="28"/>
  <c r="P29" i="28"/>
  <c r="AK52" i="28"/>
  <c r="AK28" i="28"/>
  <c r="AK32" i="28"/>
  <c r="AK30" i="28"/>
  <c r="AK25" i="28"/>
  <c r="AK24" i="28"/>
  <c r="AK29" i="28"/>
  <c r="AK26" i="28"/>
  <c r="AK31" i="28"/>
  <c r="AE52" i="28"/>
  <c r="AE29" i="28"/>
  <c r="AE26" i="28"/>
  <c r="AE31" i="28"/>
  <c r="AE25" i="28"/>
  <c r="AE28" i="28"/>
  <c r="AE30" i="28"/>
  <c r="AE32" i="28"/>
  <c r="AE24" i="28"/>
  <c r="AF52" i="28"/>
  <c r="AF29" i="28"/>
  <c r="AF32" i="28"/>
  <c r="AF31" i="28"/>
  <c r="AF28" i="28"/>
  <c r="AF26" i="28"/>
  <c r="AF24" i="28"/>
  <c r="AF30" i="28"/>
  <c r="AF25" i="28"/>
  <c r="AC123" i="28" l="1"/>
  <c r="AC103" i="28"/>
  <c r="AC71" i="28"/>
  <c r="AC73" i="28" s="1"/>
  <c r="K53" i="28"/>
  <c r="T33" i="76"/>
  <c r="AM41" i="28" s="1"/>
  <c r="AM48" i="28" s="1"/>
  <c r="T21" i="76"/>
  <c r="AA41" i="28" s="1"/>
  <c r="AA48" i="28" s="1"/>
  <c r="T9" i="76"/>
  <c r="O41" i="28" s="1"/>
  <c r="O48" i="28" s="1"/>
  <c r="T12" i="76"/>
  <c r="R41" i="28" s="1"/>
  <c r="R48" i="28" s="1"/>
  <c r="T36" i="76"/>
  <c r="AP41" i="28" s="1"/>
  <c r="AP48" i="28" s="1"/>
  <c r="T31" i="76"/>
  <c r="AK41" i="28" s="1"/>
  <c r="AK48" i="28" s="1"/>
  <c r="T13" i="76"/>
  <c r="S41" i="28" s="1"/>
  <c r="S48" i="28" s="1"/>
  <c r="T32" i="76"/>
  <c r="AL41" i="28" s="1"/>
  <c r="AL48" i="28" s="1"/>
  <c r="T26" i="76"/>
  <c r="AF41" i="28" s="1"/>
  <c r="AF48" i="28" s="1"/>
  <c r="T34" i="76"/>
  <c r="AN41" i="28" s="1"/>
  <c r="AN48" i="28" s="1"/>
  <c r="T24" i="76"/>
  <c r="AD41" i="28" s="1"/>
  <c r="AD48" i="28" s="1"/>
  <c r="T6" i="76"/>
  <c r="L41" i="28" s="1"/>
  <c r="L48" i="28" s="1"/>
  <c r="T37" i="76"/>
  <c r="AQ41" i="28" s="1"/>
  <c r="AQ48" i="28" s="1"/>
  <c r="T17" i="76"/>
  <c r="W41" i="28" s="1"/>
  <c r="W48" i="28" s="1"/>
  <c r="T40" i="76"/>
  <c r="AT41" i="28" s="1"/>
  <c r="AT48" i="28" s="1"/>
  <c r="T11" i="76"/>
  <c r="Q41" i="28" s="1"/>
  <c r="Q48" i="28" s="1"/>
  <c r="T25" i="76"/>
  <c r="AE41" i="28" s="1"/>
  <c r="AE48" i="28" s="1"/>
  <c r="T14" i="76"/>
  <c r="T41" i="28" s="1"/>
  <c r="T48" i="28" s="1"/>
  <c r="T35" i="76"/>
  <c r="AO41" i="28" s="1"/>
  <c r="AO48" i="28" s="1"/>
  <c r="T39" i="76"/>
  <c r="AS41" i="28" s="1"/>
  <c r="AS48" i="28" s="1"/>
  <c r="T38" i="76"/>
  <c r="AR41" i="28" s="1"/>
  <c r="AR48" i="28" s="1"/>
  <c r="T29" i="76"/>
  <c r="AI41" i="28" s="1"/>
  <c r="AI48" i="28" s="1"/>
  <c r="T10" i="76"/>
  <c r="P41" i="28" s="1"/>
  <c r="P48" i="28" s="1"/>
  <c r="T7" i="76"/>
  <c r="M41" i="28" s="1"/>
  <c r="M48" i="28" s="1"/>
  <c r="T8" i="76"/>
  <c r="N41" i="28" s="1"/>
  <c r="N48" i="28" s="1"/>
  <c r="T16" i="76"/>
  <c r="V41" i="28" s="1"/>
  <c r="V48" i="28" s="1"/>
  <c r="T19" i="76"/>
  <c r="Y41" i="28" s="1"/>
  <c r="Y48" i="28" s="1"/>
  <c r="T18" i="76"/>
  <c r="X41" i="28" s="1"/>
  <c r="X48" i="28" s="1"/>
  <c r="T22" i="76"/>
  <c r="AB41" i="28" s="1"/>
  <c r="AB48" i="28" s="1"/>
  <c r="T28" i="76"/>
  <c r="AH41" i="28" s="1"/>
  <c r="AH48" i="28" s="1"/>
  <c r="T30" i="76"/>
  <c r="AJ41" i="28" s="1"/>
  <c r="AJ48" i="28" s="1"/>
  <c r="T15" i="76"/>
  <c r="U41" i="28" s="1"/>
  <c r="U48" i="28" s="1"/>
  <c r="T27" i="76"/>
  <c r="AG41" i="28" s="1"/>
  <c r="AG48" i="28" s="1"/>
  <c r="N66" i="74"/>
  <c r="N121" i="74"/>
  <c r="K38" i="74"/>
  <c r="K52" i="74" s="1"/>
  <c r="K54" i="74" s="1"/>
  <c r="K101" i="74" s="1"/>
  <c r="K105" i="74" s="1"/>
  <c r="N38" i="74"/>
  <c r="N52" i="74" s="1"/>
  <c r="N54" i="74" s="1"/>
  <c r="N120" i="74" s="1"/>
  <c r="N124" i="74" s="1"/>
  <c r="L121" i="74"/>
  <c r="L38" i="74"/>
  <c r="L52" i="74" s="1"/>
  <c r="L54" i="74" s="1"/>
  <c r="L101" i="74" s="1"/>
  <c r="L105" i="74" s="1"/>
  <c r="L102" i="74"/>
  <c r="O33" i="28"/>
  <c r="O53" i="28" s="1"/>
  <c r="O64" i="28"/>
  <c r="O65" i="28" s="1"/>
  <c r="O61" i="28"/>
  <c r="K66" i="28"/>
  <c r="F75" i="76" s="1"/>
  <c r="G75" i="76" s="1"/>
  <c r="T5" i="76" s="1"/>
  <c r="K41" i="28" s="1"/>
  <c r="AF33" i="28"/>
  <c r="AF53" i="28" s="1"/>
  <c r="N33" i="28"/>
  <c r="N53" i="28" s="1"/>
  <c r="AH66" i="28"/>
  <c r="M138" i="28"/>
  <c r="M104" i="28"/>
  <c r="M72" i="28"/>
  <c r="M124" i="28"/>
  <c r="Q66" i="28"/>
  <c r="L66" i="28"/>
  <c r="AS66" i="28"/>
  <c r="M66" i="74"/>
  <c r="M121" i="74"/>
  <c r="M102" i="74"/>
  <c r="M38" i="74"/>
  <c r="M52" i="74" s="1"/>
  <c r="M54" i="74" s="1"/>
  <c r="AF64" i="28"/>
  <c r="AF65" i="28" s="1"/>
  <c r="AF61" i="28"/>
  <c r="AP33" i="28"/>
  <c r="AP53" i="28" s="1"/>
  <c r="AI33" i="28"/>
  <c r="AI53" i="28" s="1"/>
  <c r="AG33" i="28"/>
  <c r="AG53" i="28" s="1"/>
  <c r="AN64" i="28"/>
  <c r="AN65" i="28" s="1"/>
  <c r="AN61" i="28"/>
  <c r="AE33" i="28"/>
  <c r="AE53" i="28" s="1"/>
  <c r="AP61" i="28"/>
  <c r="AP64" i="28"/>
  <c r="AP65" i="28" s="1"/>
  <c r="AT33" i="28"/>
  <c r="AT53" i="28" s="1"/>
  <c r="N64" i="28"/>
  <c r="N65" i="28" s="1"/>
  <c r="N61" i="28"/>
  <c r="AR33" i="28"/>
  <c r="AR53" i="28" s="1"/>
  <c r="P61" i="28"/>
  <c r="P64" i="28"/>
  <c r="P65" i="28" s="1"/>
  <c r="AG61" i="28"/>
  <c r="AG64" i="28"/>
  <c r="AG65" i="28" s="1"/>
  <c r="AJ61" i="28"/>
  <c r="AJ64" i="28"/>
  <c r="AJ65" i="28" s="1"/>
  <c r="AL61" i="28"/>
  <c r="AL64" i="28"/>
  <c r="AL65" i="28" s="1"/>
  <c r="AR64" i="28"/>
  <c r="AR65" i="28" s="1"/>
  <c r="AR61" i="28"/>
  <c r="AE64" i="28"/>
  <c r="AE65" i="28" s="1"/>
  <c r="AE61" i="28"/>
  <c r="AK61" i="28"/>
  <c r="AK64" i="28"/>
  <c r="AK65" i="28" s="1"/>
  <c r="P33" i="28"/>
  <c r="P53" i="28" s="1"/>
  <c r="AI61" i="28"/>
  <c r="AI64" i="28"/>
  <c r="AI65" i="28" s="1"/>
  <c r="AM64" i="28"/>
  <c r="AM65" i="28" s="1"/>
  <c r="AM61" i="28"/>
  <c r="AN33" i="28"/>
  <c r="AN53" i="28" s="1"/>
  <c r="AK33" i="28"/>
  <c r="AK53" i="28" s="1"/>
  <c r="AM33" i="28"/>
  <c r="AM53" i="28" s="1"/>
  <c r="AT61" i="28"/>
  <c r="AT64" i="28"/>
  <c r="AT65" i="28" s="1"/>
  <c r="AJ33" i="28"/>
  <c r="AJ53" i="28" s="1"/>
  <c r="AL33" i="28"/>
  <c r="AL53" i="28" s="1"/>
  <c r="AC78" i="28" l="1"/>
  <c r="AC79" i="28"/>
  <c r="Z54" i="28"/>
  <c r="Z55" i="28" s="1"/>
  <c r="Z103" i="28" s="1"/>
  <c r="K48" i="28"/>
  <c r="K54" i="28" s="1"/>
  <c r="K55" i="28" s="1"/>
  <c r="AH104" i="28"/>
  <c r="AJ66" i="28"/>
  <c r="M134" i="28"/>
  <c r="M154" i="28" s="1"/>
  <c r="A67" i="28"/>
  <c r="K138" i="28"/>
  <c r="K120" i="74"/>
  <c r="K124" i="74" s="1"/>
  <c r="K65" i="74"/>
  <c r="K67" i="74" s="1"/>
  <c r="N101" i="74"/>
  <c r="N105" i="74" s="1"/>
  <c r="N108" i="74" s="1"/>
  <c r="N117" i="74" s="1"/>
  <c r="N125" i="74" s="1"/>
  <c r="N126" i="74" s="1"/>
  <c r="N127" i="74" s="1"/>
  <c r="L120" i="74"/>
  <c r="L124" i="74" s="1"/>
  <c r="N65" i="74"/>
  <c r="N67" i="74" s="1"/>
  <c r="L65" i="74"/>
  <c r="L67" i="74" s="1"/>
  <c r="K124" i="28"/>
  <c r="O66" i="28"/>
  <c r="K72" i="28"/>
  <c r="K104" i="28"/>
  <c r="AR66" i="28"/>
  <c r="AN66" i="28"/>
  <c r="AF66" i="28"/>
  <c r="AH138" i="28"/>
  <c r="P66" i="28"/>
  <c r="AH124" i="28"/>
  <c r="AL66" i="28"/>
  <c r="AH72" i="28"/>
  <c r="AE66" i="28"/>
  <c r="Q104" i="28"/>
  <c r="Q124" i="28"/>
  <c r="Q72" i="28"/>
  <c r="Q138" i="28"/>
  <c r="L138" i="28"/>
  <c r="L124" i="28"/>
  <c r="L104" i="28"/>
  <c r="L72" i="28"/>
  <c r="M101" i="74"/>
  <c r="M105" i="74" s="1"/>
  <c r="M120" i="74"/>
  <c r="M124" i="74" s="1"/>
  <c r="M65" i="74"/>
  <c r="M67" i="74" s="1"/>
  <c r="AS138" i="28"/>
  <c r="AS124" i="28"/>
  <c r="AS72" i="28"/>
  <c r="AS104" i="28"/>
  <c r="AG66" i="28"/>
  <c r="K108" i="74"/>
  <c r="K117" i="74" s="1"/>
  <c r="K125" i="74" s="1"/>
  <c r="AP66" i="28"/>
  <c r="AT66" i="28"/>
  <c r="AM66" i="28"/>
  <c r="AI66" i="28"/>
  <c r="AK66" i="28"/>
  <c r="N66" i="28"/>
  <c r="L108" i="74"/>
  <c r="L117" i="74" s="1"/>
  <c r="L125" i="74" s="1"/>
  <c r="AC80" i="28" l="1"/>
  <c r="AC88" i="28" s="1"/>
  <c r="AC90" i="28" s="1"/>
  <c r="Z71" i="28"/>
  <c r="Z73" i="28" s="1"/>
  <c r="Z123" i="28"/>
  <c r="V54" i="28"/>
  <c r="V55" i="28" s="1"/>
  <c r="V71" i="28" s="1"/>
  <c r="V73" i="28" s="1"/>
  <c r="V79" i="28" s="1"/>
  <c r="L54" i="28"/>
  <c r="L55" i="28" s="1"/>
  <c r="L71" i="28" s="1"/>
  <c r="L73" i="28" s="1"/>
  <c r="L78" i="28" s="1"/>
  <c r="U54" i="28"/>
  <c r="U55" i="28" s="1"/>
  <c r="U71" i="28" s="1"/>
  <c r="U73" i="28" s="1"/>
  <c r="W54" i="28"/>
  <c r="W55" i="28" s="1"/>
  <c r="W123" i="28" s="1"/>
  <c r="X54" i="28"/>
  <c r="X55" i="28" s="1"/>
  <c r="X71" i="28" s="1"/>
  <c r="X73" i="28" s="1"/>
  <c r="X79" i="28" s="1"/>
  <c r="AA54" i="28"/>
  <c r="AA55" i="28" s="1"/>
  <c r="AA103" i="28" s="1"/>
  <c r="AB54" i="28"/>
  <c r="AB55" i="28" s="1"/>
  <c r="AB123" i="28" s="1"/>
  <c r="Y54" i="28"/>
  <c r="Y55" i="28" s="1"/>
  <c r="Y103" i="28" s="1"/>
  <c r="T54" i="28"/>
  <c r="T55" i="28" s="1"/>
  <c r="AG54" i="28"/>
  <c r="AG55" i="28" s="1"/>
  <c r="AN54" i="28"/>
  <c r="AN55" i="28" s="1"/>
  <c r="P54" i="28"/>
  <c r="P55" i="28" s="1"/>
  <c r="K123" i="28"/>
  <c r="K71" i="28"/>
  <c r="K73" i="28" s="1"/>
  <c r="K79" i="28" s="1"/>
  <c r="K103" i="28"/>
  <c r="M54" i="28"/>
  <c r="M55" i="28" s="1"/>
  <c r="M103" i="28" s="1"/>
  <c r="N54" i="28"/>
  <c r="N55" i="28" s="1"/>
  <c r="AJ54" i="28"/>
  <c r="AJ55" i="28" s="1"/>
  <c r="AL54" i="28"/>
  <c r="AL55" i="28" s="1"/>
  <c r="AL103" i="28" s="1"/>
  <c r="AM54" i="28"/>
  <c r="AM55" i="28" s="1"/>
  <c r="AM103" i="28" s="1"/>
  <c r="AK54" i="28"/>
  <c r="AK55" i="28" s="1"/>
  <c r="AI54" i="28"/>
  <c r="AI55" i="28" s="1"/>
  <c r="AS54" i="28"/>
  <c r="AS55" i="28" s="1"/>
  <c r="AS103" i="28" s="1"/>
  <c r="AT54" i="28"/>
  <c r="AT55" i="28" s="1"/>
  <c r="AR54" i="28"/>
  <c r="AR55" i="28" s="1"/>
  <c r="AR103" i="28" s="1"/>
  <c r="AO54" i="28"/>
  <c r="AO55" i="28" s="1"/>
  <c r="AO103" i="28" s="1"/>
  <c r="AP54" i="28"/>
  <c r="AP55" i="28" s="1"/>
  <c r="AH54" i="28"/>
  <c r="AH55" i="28" s="1"/>
  <c r="AH103" i="28" s="1"/>
  <c r="P104" i="28"/>
  <c r="O54" i="28"/>
  <c r="O55" i="28" s="1"/>
  <c r="AF104" i="28"/>
  <c r="AE54" i="28"/>
  <c r="AE55" i="28" s="1"/>
  <c r="O72" i="28"/>
  <c r="Q54" i="28"/>
  <c r="Q55" i="28" s="1"/>
  <c r="AN104" i="28"/>
  <c r="AE72" i="28"/>
  <c r="AD54" i="28"/>
  <c r="AD55" i="28" s="1"/>
  <c r="AR138" i="28"/>
  <c r="AR134" i="28" s="1"/>
  <c r="AQ54" i="28"/>
  <c r="AQ55" i="28" s="1"/>
  <c r="AG124" i="28"/>
  <c r="AF54" i="28"/>
  <c r="AF55" i="28" s="1"/>
  <c r="AL104" i="28"/>
  <c r="L134" i="28"/>
  <c r="L154" i="28" s="1"/>
  <c r="AH134" i="28"/>
  <c r="K134" i="28"/>
  <c r="K154" i="28" s="1"/>
  <c r="AS134" i="28"/>
  <c r="Q134" i="28"/>
  <c r="L126" i="74"/>
  <c r="L127" i="74" s="1"/>
  <c r="K126" i="74"/>
  <c r="K127" i="74" s="1"/>
  <c r="O138" i="28"/>
  <c r="AF124" i="28"/>
  <c r="O124" i="28"/>
  <c r="O104" i="28"/>
  <c r="AR104" i="28"/>
  <c r="AR124" i="28"/>
  <c r="AF72" i="28"/>
  <c r="AF138" i="28"/>
  <c r="K109" i="74"/>
  <c r="K110" i="74" s="1"/>
  <c r="AN124" i="28"/>
  <c r="P124" i="28"/>
  <c r="AL124" i="28"/>
  <c r="AR72" i="28"/>
  <c r="AN138" i="28"/>
  <c r="AN72" i="28"/>
  <c r="AE124" i="28"/>
  <c r="AE138" i="28"/>
  <c r="AE104" i="28"/>
  <c r="P72" i="28"/>
  <c r="AL72" i="28"/>
  <c r="P138" i="28"/>
  <c r="AL138" i="28"/>
  <c r="M108" i="74"/>
  <c r="M117" i="74" s="1"/>
  <c r="M125" i="74" s="1"/>
  <c r="M126" i="74" s="1"/>
  <c r="M127" i="74" s="1"/>
  <c r="N109" i="74"/>
  <c r="N110" i="74" s="1"/>
  <c r="AG138" i="28"/>
  <c r="AG104" i="28"/>
  <c r="AG72" i="28"/>
  <c r="L109" i="74"/>
  <c r="L110" i="74" s="1"/>
  <c r="AK138" i="28"/>
  <c r="AK124" i="28"/>
  <c r="AK104" i="28"/>
  <c r="AK72" i="28"/>
  <c r="AT124" i="28"/>
  <c r="AT72" i="28"/>
  <c r="AT138" i="28"/>
  <c r="AT104" i="28"/>
  <c r="AP138" i="28"/>
  <c r="AP72" i="28"/>
  <c r="AP104" i="28"/>
  <c r="AP124" i="28"/>
  <c r="AI138" i="28"/>
  <c r="AI104" i="28"/>
  <c r="AI124" i="28"/>
  <c r="AI72" i="28"/>
  <c r="AJ138" i="28"/>
  <c r="AJ104" i="28"/>
  <c r="AJ72" i="28"/>
  <c r="AJ124" i="28"/>
  <c r="N138" i="28"/>
  <c r="N72" i="28"/>
  <c r="N124" i="28"/>
  <c r="N104" i="28"/>
  <c r="AM138" i="28"/>
  <c r="AM72" i="28"/>
  <c r="AM104" i="28"/>
  <c r="AM124" i="28"/>
  <c r="AC125" i="28" l="1"/>
  <c r="AC127" i="28" s="1"/>
  <c r="AC105" i="28"/>
  <c r="AC107" i="28" s="1"/>
  <c r="Z78" i="28"/>
  <c r="Z79" i="28"/>
  <c r="W103" i="28"/>
  <c r="W71" i="28"/>
  <c r="W73" i="28" s="1"/>
  <c r="W79" i="28" s="1"/>
  <c r="X123" i="28"/>
  <c r="V78" i="28"/>
  <c r="V80" i="28" s="1"/>
  <c r="V88" i="28" s="1"/>
  <c r="V90" i="28" s="1"/>
  <c r="V125" i="28" s="1"/>
  <c r="V123" i="28"/>
  <c r="V103" i="28"/>
  <c r="L123" i="28"/>
  <c r="L103" i="28"/>
  <c r="AB71" i="28"/>
  <c r="AB73" i="28" s="1"/>
  <c r="AB78" i="28" s="1"/>
  <c r="U123" i="28"/>
  <c r="U103" i="28"/>
  <c r="X103" i="28"/>
  <c r="AA71" i="28"/>
  <c r="AA73" i="28" s="1"/>
  <c r="AA78" i="28" s="1"/>
  <c r="AA123" i="28"/>
  <c r="Y123" i="28"/>
  <c r="X78" i="28"/>
  <c r="X80" i="28" s="1"/>
  <c r="X88" i="28" s="1"/>
  <c r="X90" i="28" s="1"/>
  <c r="X125" i="28" s="1"/>
  <c r="AB103" i="28"/>
  <c r="Y71" i="28"/>
  <c r="Y73" i="28" s="1"/>
  <c r="Y79" i="28" s="1"/>
  <c r="U79" i="28"/>
  <c r="U78" i="28"/>
  <c r="T123" i="28"/>
  <c r="T103" i="28"/>
  <c r="T71" i="28"/>
  <c r="T73" i="28" s="1"/>
  <c r="L79" i="28"/>
  <c r="L80" i="28" s="1"/>
  <c r="L88" i="28" s="1"/>
  <c r="L90" i="28" s="1"/>
  <c r="AR71" i="28"/>
  <c r="AR73" i="28" s="1"/>
  <c r="AR79" i="28" s="1"/>
  <c r="AR123" i="28"/>
  <c r="AS123" i="28"/>
  <c r="AS71" i="28"/>
  <c r="AS73" i="28" s="1"/>
  <c r="AS78" i="28" s="1"/>
  <c r="M71" i="28"/>
  <c r="M73" i="28" s="1"/>
  <c r="M123" i="28"/>
  <c r="P71" i="28"/>
  <c r="P73" i="28" s="1"/>
  <c r="P78" i="28" s="1"/>
  <c r="P123" i="28"/>
  <c r="P103" i="28"/>
  <c r="AN123" i="28"/>
  <c r="AN71" i="28"/>
  <c r="AN73" i="28" s="1"/>
  <c r="AN103" i="28"/>
  <c r="AG71" i="28"/>
  <c r="AG73" i="28" s="1"/>
  <c r="AG78" i="28" s="1"/>
  <c r="AG103" i="28"/>
  <c r="AG123" i="28"/>
  <c r="AL71" i="28"/>
  <c r="AL73" i="28" s="1"/>
  <c r="AL78" i="28" s="1"/>
  <c r="AM71" i="28"/>
  <c r="AM73" i="28" s="1"/>
  <c r="AM123" i="28"/>
  <c r="AL123" i="28"/>
  <c r="AJ123" i="28"/>
  <c r="AJ103" i="28"/>
  <c r="AJ71" i="28"/>
  <c r="AJ73" i="28" s="1"/>
  <c r="AJ79" i="28" s="1"/>
  <c r="AO71" i="28"/>
  <c r="AO73" i="28" s="1"/>
  <c r="AO78" i="28" s="1"/>
  <c r="AO123" i="28"/>
  <c r="AI71" i="28"/>
  <c r="AI73" i="28" s="1"/>
  <c r="AI79" i="28" s="1"/>
  <c r="AI103" i="28"/>
  <c r="AI123" i="28"/>
  <c r="AP103" i="28"/>
  <c r="AP71" i="28"/>
  <c r="AP73" i="28" s="1"/>
  <c r="AP123" i="28"/>
  <c r="AH123" i="28"/>
  <c r="AT123" i="28"/>
  <c r="AT71" i="28"/>
  <c r="AT73" i="28" s="1"/>
  <c r="AT103" i="28"/>
  <c r="AH71" i="28"/>
  <c r="AH73" i="28" s="1"/>
  <c r="AH79" i="28" s="1"/>
  <c r="AF103" i="28"/>
  <c r="AF71" i="28"/>
  <c r="AF73" i="28" s="1"/>
  <c r="AF123" i="28"/>
  <c r="K78" i="28"/>
  <c r="K80" i="28" s="1"/>
  <c r="K88" i="28" s="1"/>
  <c r="K90" i="28" s="1"/>
  <c r="K125" i="28" s="1"/>
  <c r="AQ71" i="28"/>
  <c r="AQ73" i="28" s="1"/>
  <c r="AQ123" i="28"/>
  <c r="AQ103" i="28"/>
  <c r="Q103" i="28"/>
  <c r="Q123" i="28"/>
  <c r="Q71" i="28"/>
  <c r="Q73" i="28" s="1"/>
  <c r="AD71" i="28"/>
  <c r="AD73" i="28" s="1"/>
  <c r="AD123" i="28"/>
  <c r="AD103" i="28"/>
  <c r="N71" i="28"/>
  <c r="N73" i="28" s="1"/>
  <c r="N79" i="28" s="1"/>
  <c r="N123" i="28"/>
  <c r="N103" i="28"/>
  <c r="O123" i="28"/>
  <c r="O71" i="28"/>
  <c r="O73" i="28" s="1"/>
  <c r="O78" i="28" s="1"/>
  <c r="O103" i="28"/>
  <c r="AE103" i="28"/>
  <c r="AE123" i="28"/>
  <c r="AE71" i="28"/>
  <c r="AE73" i="28" s="1"/>
  <c r="AE79" i="28" s="1"/>
  <c r="AK123" i="28"/>
  <c r="AK71" i="28"/>
  <c r="AK73" i="28" s="1"/>
  <c r="AK103" i="28"/>
  <c r="K155" i="28"/>
  <c r="AT134" i="28"/>
  <c r="AT154" i="28" s="1"/>
  <c r="AT155" i="28" s="1"/>
  <c r="AR154" i="28"/>
  <c r="AR155" i="28" s="1"/>
  <c r="AL134" i="28"/>
  <c r="AE134" i="28"/>
  <c r="AE154" i="28" s="1"/>
  <c r="AE155" i="28" s="1"/>
  <c r="AM134" i="28"/>
  <c r="AM154" i="28" s="1"/>
  <c r="AM155" i="28" s="1"/>
  <c r="AJ134" i="28"/>
  <c r="AJ154" i="28" s="1"/>
  <c r="AJ155" i="28" s="1"/>
  <c r="AP134" i="28"/>
  <c r="AK134" i="28"/>
  <c r="AK154" i="28" s="1"/>
  <c r="AK155" i="28" s="1"/>
  <c r="P134" i="28"/>
  <c r="P154" i="28" s="1"/>
  <c r="P155" i="28" s="1"/>
  <c r="AN134" i="28"/>
  <c r="AN154" i="28" s="1"/>
  <c r="AN155" i="28" s="1"/>
  <c r="O134" i="28"/>
  <c r="N134" i="28"/>
  <c r="AI134" i="28"/>
  <c r="AF134" i="28"/>
  <c r="AF154" i="28" s="1"/>
  <c r="AF155" i="28" s="1"/>
  <c r="AG134" i="28"/>
  <c r="AG154" i="28" s="1"/>
  <c r="AG155" i="28" s="1"/>
  <c r="M109" i="74"/>
  <c r="M110" i="74" s="1"/>
  <c r="AC111" i="28" l="1"/>
  <c r="AC112" i="28" s="1"/>
  <c r="AC113" i="28" s="1"/>
  <c r="X127" i="28"/>
  <c r="Z80" i="28"/>
  <c r="Z88" i="28" s="1"/>
  <c r="Z90" i="28" s="1"/>
  <c r="W78" i="28"/>
  <c r="W80" i="28" s="1"/>
  <c r="W88" i="28" s="1"/>
  <c r="W90" i="28" s="1"/>
  <c r="W125" i="28" s="1"/>
  <c r="W127" i="28" s="1"/>
  <c r="V127" i="28"/>
  <c r="V105" i="28"/>
  <c r="V107" i="28" s="1"/>
  <c r="V111" i="28" s="1"/>
  <c r="V112" i="28" s="1"/>
  <c r="V113" i="28" s="1"/>
  <c r="AB79" i="28"/>
  <c r="AB80" i="28" s="1"/>
  <c r="AB88" i="28" s="1"/>
  <c r="AB90" i="28" s="1"/>
  <c r="AB105" i="28" s="1"/>
  <c r="AB107" i="28" s="1"/>
  <c r="X105" i="28"/>
  <c r="X107" i="28" s="1"/>
  <c r="X111" i="28" s="1"/>
  <c r="AA79" i="28"/>
  <c r="AA80" i="28" s="1"/>
  <c r="AA88" i="28" s="1"/>
  <c r="AA90" i="28" s="1"/>
  <c r="U80" i="28"/>
  <c r="U88" i="28" s="1"/>
  <c r="U90" i="28" s="1"/>
  <c r="U105" i="28" s="1"/>
  <c r="U107" i="28" s="1"/>
  <c r="Y78" i="28"/>
  <c r="Y80" i="28" s="1"/>
  <c r="Y88" i="28" s="1"/>
  <c r="Y90" i="28" s="1"/>
  <c r="Y105" i="28" s="1"/>
  <c r="Y107" i="28" s="1"/>
  <c r="T79" i="28"/>
  <c r="T78" i="28"/>
  <c r="M78" i="28"/>
  <c r="AS79" i="28"/>
  <c r="AS80" i="28" s="1"/>
  <c r="AS88" i="28" s="1"/>
  <c r="AS90" i="28" s="1"/>
  <c r="AS125" i="28" s="1"/>
  <c r="M79" i="28"/>
  <c r="AO79" i="28"/>
  <c r="AO80" i="28" s="1"/>
  <c r="AO88" i="28" s="1"/>
  <c r="AO90" i="28" s="1"/>
  <c r="AO125" i="28" s="1"/>
  <c r="AO127" i="28" s="1"/>
  <c r="P79" i="28"/>
  <c r="P80" i="28" s="1"/>
  <c r="P88" i="28" s="1"/>
  <c r="P90" i="28" s="1"/>
  <c r="AM78" i="28"/>
  <c r="AM79" i="28"/>
  <c r="AP78" i="28"/>
  <c r="AP79" i="28"/>
  <c r="AN79" i="28"/>
  <c r="AN78" i="28"/>
  <c r="AH78" i="28"/>
  <c r="AH80" i="28" s="1"/>
  <c r="AH88" i="28" s="1"/>
  <c r="AH90" i="28" s="1"/>
  <c r="AH105" i="28" s="1"/>
  <c r="AT79" i="28"/>
  <c r="AT78" i="28"/>
  <c r="AI78" i="28"/>
  <c r="AI80" i="28" s="1"/>
  <c r="AI88" i="28" s="1"/>
  <c r="AI90" i="28" s="1"/>
  <c r="AI125" i="28" s="1"/>
  <c r="AF79" i="28"/>
  <c r="AF78" i="28"/>
  <c r="AG79" i="28"/>
  <c r="AG80" i="28" s="1"/>
  <c r="AG88" i="28" s="1"/>
  <c r="AG90" i="28" s="1"/>
  <c r="AL79" i="28"/>
  <c r="AL80" i="28" s="1"/>
  <c r="AL88" i="28" s="1"/>
  <c r="AL90" i="28" s="1"/>
  <c r="AL105" i="28" s="1"/>
  <c r="AJ78" i="28"/>
  <c r="AJ80" i="28" s="1"/>
  <c r="AJ88" i="28" s="1"/>
  <c r="AJ90" i="28" s="1"/>
  <c r="AJ125" i="28" s="1"/>
  <c r="O79" i="28"/>
  <c r="O80" i="28" s="1"/>
  <c r="O88" i="28" s="1"/>
  <c r="O90" i="28" s="1"/>
  <c r="O105" i="28" s="1"/>
  <c r="N78" i="28"/>
  <c r="N80" i="28" s="1"/>
  <c r="N88" i="28" s="1"/>
  <c r="N90" i="28" s="1"/>
  <c r="AR78" i="28"/>
  <c r="AR80" i="28" s="1"/>
  <c r="AR88" i="28" s="1"/>
  <c r="AR90" i="28" s="1"/>
  <c r="AR125" i="28" s="1"/>
  <c r="AE78" i="28"/>
  <c r="AE80" i="28" s="1"/>
  <c r="AE88" i="28" s="1"/>
  <c r="AE90" i="28" s="1"/>
  <c r="AK78" i="28"/>
  <c r="AK79" i="28"/>
  <c r="Q78" i="28"/>
  <c r="Q79" i="28"/>
  <c r="AD79" i="28"/>
  <c r="AD78" i="28"/>
  <c r="AQ79" i="28"/>
  <c r="AQ78" i="28"/>
  <c r="AI154" i="28"/>
  <c r="AI155" i="28" s="1"/>
  <c r="AP154" i="28"/>
  <c r="AP155" i="28" s="1"/>
  <c r="N154" i="28"/>
  <c r="N155" i="28" s="1"/>
  <c r="AL154" i="28"/>
  <c r="AL155" i="28" s="1"/>
  <c r="K105" i="28"/>
  <c r="L105" i="28"/>
  <c r="L125" i="28"/>
  <c r="AC119" i="28" l="1"/>
  <c r="AC128" i="28" s="1"/>
  <c r="AC129" i="28" s="1"/>
  <c r="H30" i="158" s="1"/>
  <c r="J30" i="158" s="1"/>
  <c r="Z105" i="28"/>
  <c r="Z107" i="28" s="1"/>
  <c r="Z125" i="28"/>
  <c r="Z127" i="28" s="1"/>
  <c r="W105" i="28"/>
  <c r="W107" i="28" s="1"/>
  <c r="W111" i="28" s="1"/>
  <c r="U125" i="28"/>
  <c r="U127" i="28" s="1"/>
  <c r="AB125" i="28"/>
  <c r="AB127" i="28" s="1"/>
  <c r="T80" i="28"/>
  <c r="T88" i="28" s="1"/>
  <c r="T90" i="28" s="1"/>
  <c r="T125" i="28" s="1"/>
  <c r="T127" i="28" s="1"/>
  <c r="AA125" i="28"/>
  <c r="AA127" i="28" s="1"/>
  <c r="AA105" i="28"/>
  <c r="AA107" i="28" s="1"/>
  <c r="AA111" i="28" s="1"/>
  <c r="V119" i="28"/>
  <c r="V128" i="28" s="1"/>
  <c r="V129" i="28" s="1"/>
  <c r="Y125" i="28"/>
  <c r="Y127" i="28" s="1"/>
  <c r="X112" i="28"/>
  <c r="X113" i="28" s="1"/>
  <c r="AB111" i="28"/>
  <c r="Y111" i="28"/>
  <c r="Y112" i="28" s="1"/>
  <c r="Y113" i="28" s="1"/>
  <c r="Y119" i="28" s="1"/>
  <c r="Y128" i="28" s="1"/>
  <c r="U111" i="28"/>
  <c r="M80" i="28"/>
  <c r="M88" i="28" s="1"/>
  <c r="M90" i="28" s="1"/>
  <c r="M125" i="28" s="1"/>
  <c r="AM80" i="28"/>
  <c r="AM88" i="28" s="1"/>
  <c r="AM90" i="28" s="1"/>
  <c r="AM125" i="28" s="1"/>
  <c r="AT80" i="28"/>
  <c r="AT88" i="28" s="1"/>
  <c r="AT90" i="28" s="1"/>
  <c r="AT105" i="28" s="1"/>
  <c r="AP80" i="28"/>
  <c r="AP88" i="28" s="1"/>
  <c r="AP90" i="28" s="1"/>
  <c r="AP125" i="28" s="1"/>
  <c r="AN80" i="28"/>
  <c r="AN88" i="28" s="1"/>
  <c r="AN90" i="28" s="1"/>
  <c r="AN125" i="28" s="1"/>
  <c r="AF80" i="28"/>
  <c r="AF88" i="28" s="1"/>
  <c r="AF90" i="28" s="1"/>
  <c r="AF105" i="28" s="1"/>
  <c r="AS105" i="28"/>
  <c r="AH125" i="28"/>
  <c r="AK80" i="28"/>
  <c r="AK88" i="28" s="1"/>
  <c r="AK90" i="28" s="1"/>
  <c r="AK125" i="28" s="1"/>
  <c r="AO105" i="28"/>
  <c r="AO107" i="28" s="1"/>
  <c r="AO111" i="28" s="1"/>
  <c r="AO112" i="28" s="1"/>
  <c r="AO113" i="28" s="1"/>
  <c r="Q80" i="28"/>
  <c r="Q88" i="28" s="1"/>
  <c r="Q90" i="28" s="1"/>
  <c r="AD80" i="28"/>
  <c r="AD88" i="28" s="1"/>
  <c r="AD90" i="28" s="1"/>
  <c r="AQ80" i="28"/>
  <c r="AQ88" i="28" s="1"/>
  <c r="AQ90" i="28" s="1"/>
  <c r="AG105" i="28"/>
  <c r="AG125" i="28"/>
  <c r="O125" i="28"/>
  <c r="AJ105" i="28"/>
  <c r="AL125" i="28"/>
  <c r="AR105" i="28"/>
  <c r="AI105" i="28"/>
  <c r="N105" i="28"/>
  <c r="N125" i="28"/>
  <c r="AE125" i="28"/>
  <c r="AE105" i="28"/>
  <c r="P125" i="28"/>
  <c r="P105" i="28"/>
  <c r="Y129" i="28" l="1"/>
  <c r="AC118" i="28"/>
  <c r="AC116" i="28"/>
  <c r="AC114" i="28"/>
  <c r="AC115" i="28"/>
  <c r="T105" i="28"/>
  <c r="T107" i="28" s="1"/>
  <c r="T111" i="28" s="1"/>
  <c r="Z111" i="28"/>
  <c r="Z112" i="28" s="1"/>
  <c r="Z113" i="28" s="1"/>
  <c r="X119" i="28"/>
  <c r="X128" i="28" s="1"/>
  <c r="V114" i="28"/>
  <c r="V118" i="28"/>
  <c r="V115" i="28"/>
  <c r="V116" i="28"/>
  <c r="H23" i="158"/>
  <c r="I23" i="158" s="1"/>
  <c r="AB112" i="28"/>
  <c r="AB113" i="28" s="1"/>
  <c r="U112" i="28"/>
  <c r="U113" i="28" s="1"/>
  <c r="AA112" i="28"/>
  <c r="AA113" i="28" s="1"/>
  <c r="W112" i="28"/>
  <c r="W113" i="28" s="1"/>
  <c r="M105" i="28"/>
  <c r="AN105" i="28"/>
  <c r="AM105" i="28"/>
  <c r="AP105" i="28"/>
  <c r="AT125" i="28"/>
  <c r="AF125" i="28"/>
  <c r="AK105" i="28"/>
  <c r="Q105" i="28"/>
  <c r="Q125" i="28"/>
  <c r="AQ105" i="28"/>
  <c r="AQ107" i="28" s="1"/>
  <c r="AQ125" i="28"/>
  <c r="AQ127" i="28" s="1"/>
  <c r="AO119" i="28"/>
  <c r="AO128" i="28" s="1"/>
  <c r="AD105" i="28"/>
  <c r="AD107" i="28" s="1"/>
  <c r="AD125" i="28"/>
  <c r="AD127" i="28" s="1"/>
  <c r="M99" i="28"/>
  <c r="K99" i="28"/>
  <c r="L99" i="28"/>
  <c r="AT99" i="28"/>
  <c r="AI99" i="28"/>
  <c r="AL99" i="28"/>
  <c r="AR99" i="28"/>
  <c r="AF99" i="28"/>
  <c r="Q99" i="28"/>
  <c r="P99" i="28"/>
  <c r="P106" i="28" s="1"/>
  <c r="AK99" i="28"/>
  <c r="N99" i="28"/>
  <c r="O99" i="28"/>
  <c r="AS99" i="28"/>
  <c r="AO129" i="28" l="1"/>
  <c r="H42" i="158" s="1"/>
  <c r="X129" i="28"/>
  <c r="H25" i="158" s="1"/>
  <c r="I25" i="158" s="1"/>
  <c r="Y114" i="28"/>
  <c r="I30" i="158"/>
  <c r="J23" i="158"/>
  <c r="K23" i="158"/>
  <c r="Z119" i="28"/>
  <c r="Z128" i="28" s="1"/>
  <c r="Z129" i="28" s="1"/>
  <c r="Y118" i="28"/>
  <c r="H26" i="158"/>
  <c r="I26" i="158" s="1"/>
  <c r="AB119" i="28"/>
  <c r="AB128" i="28" s="1"/>
  <c r="U119" i="28"/>
  <c r="U128" i="28" s="1"/>
  <c r="U129" i="28" s="1"/>
  <c r="Y116" i="28"/>
  <c r="W119" i="28"/>
  <c r="W128" i="28" s="1"/>
  <c r="W129" i="28" s="1"/>
  <c r="Y115" i="28"/>
  <c r="AA119" i="28"/>
  <c r="AA128" i="28" s="1"/>
  <c r="AA129" i="28" s="1"/>
  <c r="T112" i="28"/>
  <c r="T113" i="28" s="1"/>
  <c r="AD111" i="28"/>
  <c r="AD112" i="28" s="1"/>
  <c r="AD113" i="28" s="1"/>
  <c r="AQ111" i="28"/>
  <c r="AQ112" i="28" s="1"/>
  <c r="AQ113" i="28" s="1"/>
  <c r="AQ119" i="28" s="1"/>
  <c r="AQ128" i="28" s="1"/>
  <c r="AQ129" i="28" s="1"/>
  <c r="L106" i="28"/>
  <c r="L107" i="28" s="1"/>
  <c r="L126" i="28"/>
  <c r="L127" i="28" s="1"/>
  <c r="K126" i="28"/>
  <c r="K127" i="28" s="1"/>
  <c r="K106" i="28"/>
  <c r="K107" i="28" s="1"/>
  <c r="M126" i="28"/>
  <c r="M127" i="28" s="1"/>
  <c r="M106" i="28"/>
  <c r="M107" i="28" s="1"/>
  <c r="AH99" i="28"/>
  <c r="AG99" i="28"/>
  <c r="AG126" i="28" s="1"/>
  <c r="AG127" i="28" s="1"/>
  <c r="AS106" i="28"/>
  <c r="AS107" i="28" s="1"/>
  <c r="AS126" i="28"/>
  <c r="AS127" i="28" s="1"/>
  <c r="AE99" i="28"/>
  <c r="AN99" i="28"/>
  <c r="AK106" i="28"/>
  <c r="AK107" i="28" s="1"/>
  <c r="AK126" i="28"/>
  <c r="AK127" i="28" s="1"/>
  <c r="AF106" i="28"/>
  <c r="AF107" i="28" s="1"/>
  <c r="AF126" i="28"/>
  <c r="AF127" i="28" s="1"/>
  <c r="AI106" i="28"/>
  <c r="AI107" i="28" s="1"/>
  <c r="AI126" i="28"/>
  <c r="AI127" i="28" s="1"/>
  <c r="AM99" i="28"/>
  <c r="O106" i="28"/>
  <c r="O107" i="28" s="1"/>
  <c r="O126" i="28"/>
  <c r="O127" i="28" s="1"/>
  <c r="P107" i="28"/>
  <c r="P126" i="28"/>
  <c r="P127" i="28" s="1"/>
  <c r="AL106" i="28"/>
  <c r="AL107" i="28" s="1"/>
  <c r="AL126" i="28"/>
  <c r="AL127" i="28" s="1"/>
  <c r="AP99" i="28"/>
  <c r="AP106" i="28" s="1"/>
  <c r="AJ99" i="28"/>
  <c r="N106" i="28"/>
  <c r="N107" i="28" s="1"/>
  <c r="N126" i="28"/>
  <c r="N127" i="28" s="1"/>
  <c r="Q126" i="28"/>
  <c r="Q127" i="28" s="1"/>
  <c r="Q106" i="28"/>
  <c r="Q107" i="28" s="1"/>
  <c r="AR126" i="28"/>
  <c r="AR127" i="28" s="1"/>
  <c r="AR106" i="28"/>
  <c r="AR107" i="28" s="1"/>
  <c r="AT106" i="28"/>
  <c r="AT107" i="28" s="1"/>
  <c r="AT126" i="28"/>
  <c r="AT127" i="28" s="1"/>
  <c r="X118" i="28" l="1"/>
  <c r="AO116" i="28"/>
  <c r="X114" i="28"/>
  <c r="X116" i="28"/>
  <c r="X115" i="28"/>
  <c r="AO115" i="28"/>
  <c r="AO118" i="28"/>
  <c r="AO114" i="28"/>
  <c r="J25" i="158"/>
  <c r="K25" i="158"/>
  <c r="J42" i="158"/>
  <c r="I42" i="158"/>
  <c r="K42" i="158" s="1"/>
  <c r="AB129" i="28"/>
  <c r="AB118" i="28" s="1"/>
  <c r="H44" i="158"/>
  <c r="J44" i="158" s="1"/>
  <c r="K30" i="158"/>
  <c r="J26" i="158"/>
  <c r="K26" i="158"/>
  <c r="Z118" i="28"/>
  <c r="Z115" i="28"/>
  <c r="Z114" i="28"/>
  <c r="Z116" i="28"/>
  <c r="H27" i="158"/>
  <c r="I27" i="158" s="1"/>
  <c r="T119" i="28"/>
  <c r="T128" i="28" s="1"/>
  <c r="T129" i="28" s="1"/>
  <c r="H28" i="158"/>
  <c r="AA114" i="28"/>
  <c r="AA116" i="28"/>
  <c r="AA118" i="28"/>
  <c r="AA115" i="28"/>
  <c r="H24" i="158"/>
  <c r="I24" i="158" s="1"/>
  <c r="W116" i="28"/>
  <c r="W114" i="28"/>
  <c r="W118" i="28"/>
  <c r="W115" i="28"/>
  <c r="H22" i="158"/>
  <c r="I22" i="158" s="1"/>
  <c r="U118" i="28"/>
  <c r="U114" i="28"/>
  <c r="U115" i="28"/>
  <c r="U116" i="28"/>
  <c r="AQ116" i="28"/>
  <c r="AQ115" i="28"/>
  <c r="AQ114" i="28"/>
  <c r="AQ118" i="28"/>
  <c r="AD119" i="28"/>
  <c r="AD128" i="28" s="1"/>
  <c r="K111" i="28"/>
  <c r="K165" i="28" s="1"/>
  <c r="M111" i="28"/>
  <c r="M165" i="28" s="1"/>
  <c r="L111" i="28"/>
  <c r="L165" i="28" s="1"/>
  <c r="AR111" i="28"/>
  <c r="AN106" i="28"/>
  <c r="AN107" i="28" s="1"/>
  <c r="AN126" i="28"/>
  <c r="AN127" i="28" s="1"/>
  <c r="AT111" i="28"/>
  <c r="AP107" i="28"/>
  <c r="AP126" i="28"/>
  <c r="AP127" i="28" s="1"/>
  <c r="AL111" i="28"/>
  <c r="P111" i="28"/>
  <c r="AM106" i="28"/>
  <c r="AM107" i="28" s="1"/>
  <c r="AM126" i="28"/>
  <c r="AM127" i="28" s="1"/>
  <c r="AK111" i="28"/>
  <c r="AS111" i="28"/>
  <c r="AS112" i="28" s="1"/>
  <c r="N111" i="28"/>
  <c r="Q111" i="28"/>
  <c r="Q112" i="28" s="1"/>
  <c r="AG106" i="28"/>
  <c r="AG107" i="28" s="1"/>
  <c r="AJ126" i="28"/>
  <c r="AJ127" i="28" s="1"/>
  <c r="AJ106" i="28"/>
  <c r="AJ107" i="28" s="1"/>
  <c r="O111" i="28"/>
  <c r="AI111" i="28"/>
  <c r="AF111" i="28"/>
  <c r="AE126" i="28"/>
  <c r="AE127" i="28" s="1"/>
  <c r="AE106" i="28"/>
  <c r="AE107" i="28" s="1"/>
  <c r="AH126" i="28"/>
  <c r="AH127" i="28" s="1"/>
  <c r="AH106" i="28"/>
  <c r="AH107" i="28" s="1"/>
  <c r="I44" i="158" l="1"/>
  <c r="K44" i="158" s="1"/>
  <c r="AB114" i="28"/>
  <c r="H29" i="158"/>
  <c r="J29" i="158" s="1"/>
  <c r="AB115" i="28"/>
  <c r="AB116" i="28"/>
  <c r="AD129" i="28"/>
  <c r="H31" i="158" s="1"/>
  <c r="J22" i="158"/>
  <c r="K22" i="158"/>
  <c r="J27" i="158"/>
  <c r="K27" i="158"/>
  <c r="J24" i="158"/>
  <c r="K24" i="158"/>
  <c r="I28" i="158"/>
  <c r="K28" i="158" s="1"/>
  <c r="J28" i="158"/>
  <c r="H21" i="158"/>
  <c r="I21" i="158" s="1"/>
  <c r="T116" i="28"/>
  <c r="T118" i="28"/>
  <c r="T115" i="28"/>
  <c r="T114" i="28"/>
  <c r="N165" i="28"/>
  <c r="AF165" i="28"/>
  <c r="AI165" i="28"/>
  <c r="P165" i="28"/>
  <c r="AT165" i="28"/>
  <c r="AK165" i="28"/>
  <c r="AL165" i="28"/>
  <c r="AR165" i="28"/>
  <c r="N112" i="28"/>
  <c r="AF112" i="28"/>
  <c r="AF167" i="28" s="1"/>
  <c r="M112" i="28"/>
  <c r="M167" i="28" s="1"/>
  <c r="AI112" i="28"/>
  <c r="AI167" i="28" s="1"/>
  <c r="P112" i="28"/>
  <c r="P167" i="28" s="1"/>
  <c r="AT112" i="28"/>
  <c r="AT167" i="28" s="1"/>
  <c r="K112" i="28"/>
  <c r="K167" i="28" s="1"/>
  <c r="AK112" i="28"/>
  <c r="AK167" i="28" s="1"/>
  <c r="AL112" i="28"/>
  <c r="AL167" i="28" s="1"/>
  <c r="AR112" i="28"/>
  <c r="AR167" i="28" s="1"/>
  <c r="Q113" i="28"/>
  <c r="Q119" i="28" s="1"/>
  <c r="Q128" i="28" s="1"/>
  <c r="AS113" i="28"/>
  <c r="AS119" i="28" s="1"/>
  <c r="AS128" i="28" s="1"/>
  <c r="L112" i="28"/>
  <c r="L167" i="28" s="1"/>
  <c r="AJ111" i="28"/>
  <c r="O112" i="28"/>
  <c r="O113" i="28" s="1"/>
  <c r="AE111" i="28"/>
  <c r="AP111" i="28"/>
  <c r="AG111" i="28"/>
  <c r="AH111" i="28"/>
  <c r="AH112" i="28" s="1"/>
  <c r="AM111" i="28"/>
  <c r="AN111" i="28"/>
  <c r="AD118" i="28" l="1"/>
  <c r="I29" i="158"/>
  <c r="K29" i="158" s="1"/>
  <c r="AD116" i="28"/>
  <c r="AD114" i="28"/>
  <c r="AD115" i="28"/>
  <c r="J31" i="158"/>
  <c r="I31" i="158"/>
  <c r="K31" i="158" s="1"/>
  <c r="AS129" i="28"/>
  <c r="H46" i="158" s="1"/>
  <c r="Q129" i="28"/>
  <c r="H18" i="158" s="1"/>
  <c r="I18" i="158" s="1"/>
  <c r="J21" i="158"/>
  <c r="K21" i="158"/>
  <c r="AE165" i="28"/>
  <c r="AK113" i="28"/>
  <c r="AK119" i="28" s="1"/>
  <c r="AK128" i="28" s="1"/>
  <c r="AK129" i="28" s="1"/>
  <c r="AI113" i="28"/>
  <c r="AI119" i="28" s="1"/>
  <c r="AI128" i="28" s="1"/>
  <c r="AI129" i="28" s="1"/>
  <c r="AP165" i="28"/>
  <c r="AG165" i="28"/>
  <c r="AN165" i="28"/>
  <c r="AJ165" i="28"/>
  <c r="AM165" i="28"/>
  <c r="AT113" i="28"/>
  <c r="AT119" i="28" s="1"/>
  <c r="AT128" i="28" s="1"/>
  <c r="AT129" i="28" s="1"/>
  <c r="N113" i="28"/>
  <c r="N119" i="28" s="1"/>
  <c r="N128" i="28" s="1"/>
  <c r="N167" i="28"/>
  <c r="M113" i="28"/>
  <c r="M119" i="28" s="1"/>
  <c r="M128" i="28" s="1"/>
  <c r="M129" i="28" s="1"/>
  <c r="P113" i="28"/>
  <c r="P119" i="28" s="1"/>
  <c r="P128" i="28" s="1"/>
  <c r="P129" i="28" s="1"/>
  <c r="K113" i="28"/>
  <c r="K119" i="28" s="1"/>
  <c r="K128" i="28" s="1"/>
  <c r="K129" i="28" s="1"/>
  <c r="AF113" i="28"/>
  <c r="AF119" i="28" s="1"/>
  <c r="AF128" i="28" s="1"/>
  <c r="AR113" i="28"/>
  <c r="AR119" i="28" s="1"/>
  <c r="AR128" i="28" s="1"/>
  <c r="AR129" i="28" s="1"/>
  <c r="AN112" i="28"/>
  <c r="AN167" i="28" s="1"/>
  <c r="AJ112" i="28"/>
  <c r="AJ167" i="28" s="1"/>
  <c r="AM112" i="28"/>
  <c r="AM167" i="28" s="1"/>
  <c r="AG112" i="28"/>
  <c r="AG167" i="28" s="1"/>
  <c r="L113" i="28"/>
  <c r="L119" i="28" s="1"/>
  <c r="L128" i="28" s="1"/>
  <c r="L129" i="28" s="1"/>
  <c r="AE112" i="28"/>
  <c r="AE167" i="28" s="1"/>
  <c r="AP112" i="28"/>
  <c r="AP167" i="28" s="1"/>
  <c r="AL113" i="28"/>
  <c r="AL119" i="28" s="1"/>
  <c r="AL128" i="28" s="1"/>
  <c r="AH113" i="28"/>
  <c r="AH119" i="28" s="1"/>
  <c r="AH128" i="28" s="1"/>
  <c r="Q116" i="28"/>
  <c r="O119" i="28"/>
  <c r="O128" i="28" s="1"/>
  <c r="AS116" i="28" l="1"/>
  <c r="AS115" i="28"/>
  <c r="AS118" i="28"/>
  <c r="AS114" i="28"/>
  <c r="Q118" i="28"/>
  <c r="Q114" i="28"/>
  <c r="Q115" i="28"/>
  <c r="J18" i="158"/>
  <c r="K18" i="158"/>
  <c r="J46" i="158"/>
  <c r="I46" i="158"/>
  <c r="K46" i="158" s="1"/>
  <c r="AL129" i="28"/>
  <c r="H39" i="158" s="1"/>
  <c r="O129" i="28"/>
  <c r="H16" i="158" s="1"/>
  <c r="I16" i="158" s="1"/>
  <c r="AH129" i="28"/>
  <c r="H35" i="158" s="1"/>
  <c r="AF129" i="28"/>
  <c r="H33" i="158" s="1"/>
  <c r="N129" i="28"/>
  <c r="H15" i="158" s="1"/>
  <c r="I15" i="158" s="1"/>
  <c r="L145" i="28"/>
  <c r="H13" i="158"/>
  <c r="I13" i="158" s="1"/>
  <c r="P145" i="28"/>
  <c r="P146" i="28" s="1"/>
  <c r="P150" i="28" s="1"/>
  <c r="H17" i="158"/>
  <c r="I17" i="158" s="1"/>
  <c r="M145" i="28"/>
  <c r="H14" i="158"/>
  <c r="I14" i="158" s="1"/>
  <c r="AT145" i="28"/>
  <c r="AT146" i="28" s="1"/>
  <c r="AT150" i="28" s="1"/>
  <c r="H47" i="158"/>
  <c r="AI118" i="28"/>
  <c r="H36" i="158"/>
  <c r="AR145" i="28"/>
  <c r="AR146" i="28" s="1"/>
  <c r="AR150" i="28" s="1"/>
  <c r="H45" i="158"/>
  <c r="AK145" i="28"/>
  <c r="AK146" i="28" s="1"/>
  <c r="AK150" i="28" s="1"/>
  <c r="H38" i="158"/>
  <c r="F14" i="72"/>
  <c r="G14" i="72" s="1"/>
  <c r="J14" i="72" s="1"/>
  <c r="H12" i="158"/>
  <c r="AI116" i="28"/>
  <c r="AK115" i="28"/>
  <c r="AK116" i="28"/>
  <c r="AK114" i="28"/>
  <c r="AK118" i="28"/>
  <c r="P115" i="28"/>
  <c r="AT114" i="28"/>
  <c r="AN113" i="28"/>
  <c r="AN119" i="28" s="1"/>
  <c r="AN128" i="28" s="1"/>
  <c r="AN129" i="28" s="1"/>
  <c r="K118" i="28"/>
  <c r="K116" i="28"/>
  <c r="AI145" i="28"/>
  <c r="AI146" i="28" s="1"/>
  <c r="AI150" i="28" s="1"/>
  <c r="AG113" i="28"/>
  <c r="AG119" i="28" s="1"/>
  <c r="AG128" i="28" s="1"/>
  <c r="AG129" i="28" s="1"/>
  <c r="AI115" i="28"/>
  <c r="AI114" i="28"/>
  <c r="AJ113" i="28"/>
  <c r="AJ119" i="28" s="1"/>
  <c r="AJ128" i="28" s="1"/>
  <c r="AR116" i="28"/>
  <c r="M114" i="28"/>
  <c r="M115" i="28"/>
  <c r="M118" i="28"/>
  <c r="AR118" i="28"/>
  <c r="P116" i="28"/>
  <c r="AT115" i="28"/>
  <c r="K166" i="28"/>
  <c r="F17" i="72"/>
  <c r="J17" i="72" s="1"/>
  <c r="AT116" i="28"/>
  <c r="M116" i="28"/>
  <c r="AR114" i="28"/>
  <c r="K168" i="28"/>
  <c r="P118" i="28"/>
  <c r="P114" i="28"/>
  <c r="AT118" i="28"/>
  <c r="AR115" i="28"/>
  <c r="K145" i="28"/>
  <c r="K115" i="28"/>
  <c r="K114" i="28"/>
  <c r="AM113" i="28"/>
  <c r="AM119" i="28" s="1"/>
  <c r="AM128" i="28" s="1"/>
  <c r="AE113" i="28"/>
  <c r="AE119" i="28" s="1"/>
  <c r="AE128" i="28" s="1"/>
  <c r="AE129" i="28" s="1"/>
  <c r="AP113" i="28"/>
  <c r="AP119" i="28" s="1"/>
  <c r="AP128" i="28" s="1"/>
  <c r="AP129" i="28" s="1"/>
  <c r="L116" i="28"/>
  <c r="L118" i="28"/>
  <c r="F16" i="72"/>
  <c r="G16" i="72" s="1"/>
  <c r="J16" i="72" s="1"/>
  <c r="L114" i="28"/>
  <c r="L115" i="28"/>
  <c r="N115" i="28" l="1"/>
  <c r="O116" i="28"/>
  <c r="N118" i="28"/>
  <c r="O115" i="28"/>
  <c r="N145" i="28"/>
  <c r="N146" i="28" s="1"/>
  <c r="N150" i="28" s="1"/>
  <c r="AH116" i="28"/>
  <c r="N116" i="28"/>
  <c r="AH114" i="28"/>
  <c r="O114" i="28"/>
  <c r="AH115" i="28"/>
  <c r="O118" i="28"/>
  <c r="AH118" i="28"/>
  <c r="N114" i="28"/>
  <c r="AF115" i="28"/>
  <c r="AF114" i="28"/>
  <c r="AF116" i="28"/>
  <c r="AF145" i="28"/>
  <c r="AF146" i="28" s="1"/>
  <c r="AF150" i="28" s="1"/>
  <c r="AF118" i="28"/>
  <c r="AL118" i="28"/>
  <c r="AL145" i="28"/>
  <c r="AL146" i="28" s="1"/>
  <c r="AL150" i="28" s="1"/>
  <c r="AL116" i="28"/>
  <c r="AL115" i="28"/>
  <c r="AL114" i="28"/>
  <c r="J33" i="158"/>
  <c r="I33" i="158"/>
  <c r="K33" i="158" s="1"/>
  <c r="J35" i="158"/>
  <c r="I35" i="158"/>
  <c r="K35" i="158" s="1"/>
  <c r="J15" i="158"/>
  <c r="K15" i="158"/>
  <c r="J16" i="158"/>
  <c r="K16" i="158"/>
  <c r="J39" i="158"/>
  <c r="I39" i="158"/>
  <c r="K39" i="158" s="1"/>
  <c r="AJ129" i="28"/>
  <c r="H37" i="158" s="1"/>
  <c r="AM129" i="28"/>
  <c r="H40" i="158" s="1"/>
  <c r="J13" i="158"/>
  <c r="K13" i="158"/>
  <c r="J17" i="158"/>
  <c r="K17" i="158"/>
  <c r="J14" i="158"/>
  <c r="K14" i="158"/>
  <c r="H34" i="158"/>
  <c r="J34" i="158" s="1"/>
  <c r="F15" i="72"/>
  <c r="G15" i="72" s="1"/>
  <c r="J15" i="72" s="1"/>
  <c r="J18" i="72" s="1"/>
  <c r="J47" i="158"/>
  <c r="I47" i="158"/>
  <c r="K47" i="158" s="1"/>
  <c r="J38" i="158"/>
  <c r="I38" i="158"/>
  <c r="K38" i="158" s="1"/>
  <c r="J45" i="158"/>
  <c r="I45" i="158"/>
  <c r="K45" i="158" s="1"/>
  <c r="J36" i="158"/>
  <c r="I36" i="158"/>
  <c r="K36" i="158" s="1"/>
  <c r="AE145" i="28"/>
  <c r="AE146" i="28" s="1"/>
  <c r="AE150" i="28" s="1"/>
  <c r="H32" i="158"/>
  <c r="AN145" i="28"/>
  <c r="AN146" i="28" s="1"/>
  <c r="AN150" i="28" s="1"/>
  <c r="AN151" i="28" s="1"/>
  <c r="AN152" i="28" s="1"/>
  <c r="AN159" i="28" s="1"/>
  <c r="H41" i="158"/>
  <c r="AP115" i="28"/>
  <c r="H43" i="158"/>
  <c r="I12" i="158"/>
  <c r="K12" i="158" s="1"/>
  <c r="AN115" i="28"/>
  <c r="AG118" i="28"/>
  <c r="AN118" i="28"/>
  <c r="AG115" i="28"/>
  <c r="AN116" i="28"/>
  <c r="AK151" i="28"/>
  <c r="AK152" i="28" s="1"/>
  <c r="AK159" i="28" s="1"/>
  <c r="AT151" i="28"/>
  <c r="AT152" i="28" s="1"/>
  <c r="AT159" i="28" s="1"/>
  <c r="AI151" i="28"/>
  <c r="AI152" i="28" s="1"/>
  <c r="AI159" i="28" s="1"/>
  <c r="AN114" i="28"/>
  <c r="AR151" i="28"/>
  <c r="AR152" i="28" s="1"/>
  <c r="AR159" i="28" s="1"/>
  <c r="P151" i="28"/>
  <c r="P152" i="28" s="1"/>
  <c r="P159" i="28" s="1"/>
  <c r="AJ115" i="28"/>
  <c r="AJ114" i="28"/>
  <c r="AG145" i="28"/>
  <c r="AG146" i="28" s="1"/>
  <c r="AG150" i="28" s="1"/>
  <c r="AG114" i="28"/>
  <c r="AE115" i="28"/>
  <c r="AE116" i="28"/>
  <c r="AG116" i="28"/>
  <c r="AE114" i="28"/>
  <c r="AE118" i="28"/>
  <c r="K169" i="28"/>
  <c r="K172" i="28" s="1"/>
  <c r="K146" i="28"/>
  <c r="K150" i="28" s="1"/>
  <c r="AP145" i="28"/>
  <c r="AP116" i="28"/>
  <c r="AP114" i="28"/>
  <c r="AP118" i="28"/>
  <c r="AJ145" i="28" l="1"/>
  <c r="AJ146" i="28" s="1"/>
  <c r="AJ150" i="28" s="1"/>
  <c r="AJ118" i="28"/>
  <c r="AM118" i="28"/>
  <c r="AM115" i="28"/>
  <c r="AJ116" i="28"/>
  <c r="AM116" i="28"/>
  <c r="AM114" i="28"/>
  <c r="AM145" i="28"/>
  <c r="AM146" i="28" s="1"/>
  <c r="AM150" i="28" s="1"/>
  <c r="J40" i="158"/>
  <c r="I40" i="158"/>
  <c r="K40" i="158" s="1"/>
  <c r="J37" i="158"/>
  <c r="I37" i="158"/>
  <c r="K37" i="158" s="1"/>
  <c r="I34" i="158"/>
  <c r="K34" i="158" s="1"/>
  <c r="J43" i="158"/>
  <c r="I43" i="158"/>
  <c r="K43" i="158" s="1"/>
  <c r="J32" i="158"/>
  <c r="I32" i="158"/>
  <c r="K32" i="158" s="1"/>
  <c r="J41" i="158"/>
  <c r="I41" i="158"/>
  <c r="K41" i="158" s="1"/>
  <c r="J12" i="158"/>
  <c r="K156" i="28"/>
  <c r="AL151" i="28"/>
  <c r="AL152" i="28" s="1"/>
  <c r="AL159" i="28" s="1"/>
  <c r="AF151" i="28"/>
  <c r="AF152" i="28" s="1"/>
  <c r="AF159" i="28" s="1"/>
  <c r="N151" i="28"/>
  <c r="N152" i="28" s="1"/>
  <c r="N159" i="28" s="1"/>
  <c r="AE151" i="28"/>
  <c r="AE152" i="28" s="1"/>
  <c r="AE159" i="28" s="1"/>
  <c r="AG151" i="28"/>
  <c r="AG152" i="28" s="1"/>
  <c r="AG159" i="28" s="1"/>
  <c r="AJ151" i="28"/>
  <c r="AJ152" i="28" s="1"/>
  <c r="AJ159" i="28" s="1"/>
  <c r="K151" i="28"/>
  <c r="K152" i="28" s="1"/>
  <c r="K159" i="28" s="1"/>
  <c r="AP146" i="28"/>
  <c r="AP150" i="28" s="1"/>
  <c r="J144" i="28" l="1"/>
  <c r="AP151" i="28"/>
  <c r="AP152" i="28" s="1"/>
  <c r="AP159" i="28" s="1"/>
  <c r="AM151" i="28"/>
  <c r="AM152" i="28" s="1"/>
  <c r="AM159" i="28" s="1"/>
  <c r="K147" i="28"/>
  <c r="S122" i="28" l="1"/>
  <c r="S102" i="28"/>
  <c r="S70" i="28"/>
  <c r="S18" i="28"/>
  <c r="S58" i="28"/>
  <c r="S62" i="28"/>
  <c r="S63" i="28" s="1"/>
  <c r="S19" i="28"/>
  <c r="S20" i="28" l="1"/>
  <c r="S136" i="28" s="1"/>
  <c r="S135" i="28"/>
  <c r="S59" i="28"/>
  <c r="S60" i="28" s="1"/>
  <c r="S30" i="28" l="1"/>
  <c r="S29" i="28"/>
  <c r="S26" i="28"/>
  <c r="S24" i="28"/>
  <c r="S31" i="28"/>
  <c r="S25" i="28"/>
  <c r="S28" i="28"/>
  <c r="S32" i="28"/>
  <c r="S64" i="28" s="1"/>
  <c r="S65" i="28" s="1"/>
  <c r="S52" i="28"/>
  <c r="S61" i="28"/>
  <c r="S33" i="28" l="1"/>
  <c r="S53" i="28" s="1"/>
  <c r="S66" i="28"/>
  <c r="S54" i="28" s="1"/>
  <c r="R54" i="28"/>
  <c r="R55" i="28" s="1"/>
  <c r="R103" i="28" s="1"/>
  <c r="S55" i="28" l="1"/>
  <c r="S123" i="28" s="1"/>
  <c r="S124" i="28"/>
  <c r="S104" i="28"/>
  <c r="S72" i="28"/>
  <c r="S138" i="28"/>
  <c r="S134" i="28" s="1"/>
  <c r="R123" i="28"/>
  <c r="R71" i="28"/>
  <c r="R73" i="28" s="1"/>
  <c r="R78" i="28" s="1"/>
  <c r="S103" i="28" l="1"/>
  <c r="S71" i="28"/>
  <c r="S73" i="28" s="1"/>
  <c r="S79" i="28" s="1"/>
  <c r="R79" i="28"/>
  <c r="R80" i="28" s="1"/>
  <c r="R88" i="28" s="1"/>
  <c r="R90" i="28" s="1"/>
  <c r="S78" i="28" l="1"/>
  <c r="S80" i="28" s="1"/>
  <c r="S88" i="28" s="1"/>
  <c r="S90" i="28" s="1"/>
  <c r="S105" i="28" s="1"/>
  <c r="S107" i="28" s="1"/>
  <c r="S111" i="28" s="1"/>
  <c r="R125" i="28"/>
  <c r="R127" i="28" s="1"/>
  <c r="R105" i="28"/>
  <c r="R107" i="28" s="1"/>
  <c r="S125" i="28" l="1"/>
  <c r="S127" i="28" s="1"/>
  <c r="S112" i="28"/>
  <c r="S113" i="28" s="1"/>
  <c r="R111" i="28"/>
  <c r="S119" i="28" l="1"/>
  <c r="S128" i="28" s="1"/>
  <c r="R112" i="28"/>
  <c r="R113" i="28" s="1"/>
  <c r="S129" i="28" l="1"/>
  <c r="H20" i="158" s="1"/>
  <c r="R119" i="28"/>
  <c r="R128" i="28" s="1"/>
  <c r="S114" i="28" l="1"/>
  <c r="R129" i="28"/>
  <c r="R116" i="28" s="1"/>
  <c r="S116" i="28"/>
  <c r="S118" i="28"/>
  <c r="S115" i="28"/>
  <c r="I20" i="158"/>
  <c r="K20" i="158" s="1"/>
  <c r="R115" i="28" l="1"/>
  <c r="R118" i="28"/>
  <c r="H19" i="158"/>
  <c r="I19" i="158" s="1"/>
  <c r="I48" i="158" s="1"/>
  <c r="I51" i="158" s="1"/>
  <c r="R114" i="28"/>
  <c r="J20" i="158"/>
  <c r="J19" i="158" l="1"/>
  <c r="J48" i="158" s="1"/>
  <c r="J51" i="158" s="1"/>
  <c r="K19" i="158"/>
  <c r="K48" i="158" s="1"/>
  <c r="K51" i="15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Marisa de Moraes</author>
    <author>Mario Martins da Silva Junior</author>
  </authors>
  <commentList>
    <comment ref="H24" authorId="0" shapeId="0" xr:uid="{373DF30D-81B0-4652-A10E-76A286F272BA}">
      <text>
        <r>
          <rPr>
            <sz val="9"/>
            <color indexed="81"/>
            <rFont val="Segoe UI"/>
            <family val="2"/>
          </rPr>
          <t>https://www.emdurb.com.br/noticias/transpcoletivo/49409?titulo=Nova-tarifa-do-transporte-coletivo-entrara-em-vigor-no-mes-de-novembro</t>
        </r>
        <r>
          <rPr>
            <b/>
            <sz val="9"/>
            <color indexed="81"/>
            <rFont val="Segoe UI"/>
            <family val="2"/>
          </rPr>
          <t xml:space="preserve">
</t>
        </r>
        <r>
          <rPr>
            <sz val="9"/>
            <color indexed="81"/>
            <rFont val="Segoe UI"/>
            <family val="2"/>
          </rPr>
          <t xml:space="preserve">
</t>
        </r>
      </text>
    </comment>
    <comment ref="G26" authorId="0" shapeId="0" xr:uid="{A3DC7FDD-BD3F-4175-8254-6C36C221D23A}">
      <text>
        <r>
          <rPr>
            <sz val="9"/>
            <color indexed="81"/>
            <rFont val="Segoe UI"/>
            <family val="2"/>
          </rPr>
          <t>https://www.emdurb.com.br/noticias/transpcoletivo/49409?titulo=Nova-tarifa-do-transporte-coletivo-entrara-em-vigor-no-mes-de-novembro</t>
        </r>
        <r>
          <rPr>
            <b/>
            <sz val="9"/>
            <color indexed="81"/>
            <rFont val="Segoe UI"/>
            <family val="2"/>
          </rPr>
          <t xml:space="preserve">
</t>
        </r>
        <r>
          <rPr>
            <sz val="9"/>
            <color indexed="81"/>
            <rFont val="Segoe UI"/>
            <family val="2"/>
          </rPr>
          <t xml:space="preserve">
</t>
        </r>
      </text>
    </comment>
    <comment ref="G30" authorId="1" shapeId="0" xr:uid="{3D834EDF-61B5-4D83-832F-FF7747950BA6}">
      <text>
        <r>
          <rPr>
            <sz val="9"/>
            <color indexed="81"/>
            <rFont val="Segoe UI"/>
            <family val="2"/>
          </rPr>
          <t xml:space="preserve">
OBSERVAÇÃO:
Conforme informação divulgada no site da Prefeitura de Jales, em reportagem datada de 28/06/2023 (link abaixo), tem-se o seguinte trecho: "</t>
        </r>
        <r>
          <rPr>
            <i/>
            <sz val="9"/>
            <color indexed="81"/>
            <rFont val="Segoe UI"/>
            <family val="2"/>
          </rPr>
          <t xml:space="preserve">O prefeito também afirmou que, por se tratar de um contrato emergencial, não haverá tarifa para os usuários do transporte público. </t>
        </r>
        <r>
          <rPr>
            <b/>
            <i/>
            <u/>
            <sz val="9"/>
            <color indexed="81"/>
            <rFont val="Segoe UI"/>
            <family val="2"/>
          </rPr>
          <t>Todos os passageiros poderão embarcar a custo zero</t>
        </r>
        <r>
          <rPr>
            <i/>
            <sz val="9"/>
            <color indexed="81"/>
            <rFont val="Segoe UI"/>
            <family val="2"/>
          </rPr>
          <t>, a partir do Terminal Rodoviário Prefeito José Antônio Caparroz.</t>
        </r>
        <r>
          <rPr>
            <sz val="9"/>
            <color indexed="81"/>
            <rFont val="Segoe UI"/>
            <family val="2"/>
          </rPr>
          <t>"
Como não foi encontrada informação oficial do período de tempo no qual a tarifa continuará zerada, optou-se por manter, nesta corrente planilha, o valor da tarifa anteriormente vigente.
Quando do início da execução contratual, caso a tarifa ainda esteja zerada, a CONTRATANTE efetuará o desconto do valor previsto, na planilha de custos, para Vale Transporte. Isso será feito ao longo de cada um dos meses de execução contratual, até que a Prefeitura de Jales volte a cobrar a tarifa de transporte público.
A partir da data do retorno da cobrança de tarifa, a empresa CONTRATADA terá direito ao pagamento do valor correspondente a ser calculado em planilha. 
Para esta corrente Planilha de Custos, todos os licitantes deverão registrar, nesta célula de tarifa de transporte público para a Cidade de Jales, o valor da última tarifa vigente no município, aquela imediatamente anterior ao início da tarifa zerada (embarque a custo zero).
(https://jales.sp.gov.br/noticias/mobilidade-urbana-e-seguranca-publica/prefeitura-rescinde-contrato-com-jauense-e-nova-empresa-assume-transporte-publico-municipal-com-custo-zero-aos-usuarios)</t>
        </r>
      </text>
    </comment>
    <comment ref="H30" authorId="1" shapeId="0" xr:uid="{4B48ED8C-6F00-4BCB-8373-9F55465343A9}">
      <text>
        <r>
          <rPr>
            <sz val="9"/>
            <color indexed="81"/>
            <rFont val="Segoe UI"/>
            <family val="2"/>
          </rPr>
          <t xml:space="preserve">
OBSERVAÇÃO:
Conforme informação divulgada no site da Prefeitura de Jales, em reportagem datada de 28/06/2023 (link abaixo), tem-se o seguinte trecho: "</t>
        </r>
        <r>
          <rPr>
            <i/>
            <sz val="9"/>
            <color indexed="81"/>
            <rFont val="Segoe UI"/>
            <family val="2"/>
          </rPr>
          <t xml:space="preserve">O prefeito também afirmou que, por se tratar de um contrato emergencial, não haverá tarifa para os usuários do transporte público. </t>
        </r>
        <r>
          <rPr>
            <b/>
            <i/>
            <u/>
            <sz val="9"/>
            <color indexed="81"/>
            <rFont val="Segoe UI"/>
            <family val="2"/>
          </rPr>
          <t>Todos os passageiros poderão embarcar a custo zero</t>
        </r>
        <r>
          <rPr>
            <i/>
            <sz val="9"/>
            <color indexed="81"/>
            <rFont val="Segoe UI"/>
            <family val="2"/>
          </rPr>
          <t>, a partir do Terminal Rodoviário Prefeito José Antônio Caparroz.</t>
        </r>
        <r>
          <rPr>
            <sz val="9"/>
            <color indexed="81"/>
            <rFont val="Segoe UI"/>
            <family val="2"/>
          </rPr>
          <t>"
Como não foi encontrada informação oficial do período de tempo no qual a tarifa continuará zerada, optou-se por manter, nesta corrente planilha, o valor da tarifa anteriormente vigente.
Quando do início da execução contratual, caso a tarifa ainda esteja zerada, a CONTRATANTE efetuará o desconto do valor previsto, na planilha de custos, para Vale Transporte. Isso será feito ao longo de cada um dos meses de execução contratual, até que a Prefeitura de Jales volte a cobrar a tarifa de transporte público.
A partir da data do retorno da cobrança de tarifa, a empresa CONTRATADA terá direito ao pagamento do valor correspondente a ser calculado em planilha. 
Para esta corrente Planilha de Custos, todos os licitantes deverão registrar, nesta célula de tarifa de transporte público para a Cidade de Jales, o valor da última tarifa vigente no município, aquela imediatamente anterior ao início da tarifa zerada (embarque a custo zero).
(https://jales.sp.gov.br/noticias/mobilidade-urbana-e-seguranca-publica/prefeitura-rescinde-contrato-com-jauense-e-nova-empresa-assume-transporte-publico-municipal-com-custo-zero-aos-usuarios)</t>
        </r>
      </text>
    </comment>
    <comment ref="H69" authorId="0" shapeId="0" xr:uid="{FD794CAD-0F61-40A6-B762-B43C6BACDEF0}">
      <text>
        <r>
          <rPr>
            <sz val="9"/>
            <color indexed="81"/>
            <rFont val="Segoe UI"/>
            <family val="2"/>
          </rPr>
          <t xml:space="preserve">para postos 12x36
</t>
        </r>
      </text>
    </comment>
    <comment ref="F76" authorId="0" shapeId="0" xr:uid="{B78F72AD-4EE9-4E3B-9592-286F1A186F2D}">
      <text>
        <r>
          <rPr>
            <b/>
            <sz val="9"/>
            <color indexed="81"/>
            <rFont val="Segoe UI"/>
            <family val="2"/>
          </rPr>
          <t xml:space="preserve">Mod 1 + Mod 2.1 + Mod 2.2 + Mod 3
</t>
        </r>
        <r>
          <rPr>
            <sz val="9"/>
            <color indexed="81"/>
            <rFont val="Segoe UI"/>
            <family val="2"/>
          </rPr>
          <t xml:space="preserve">
</t>
        </r>
      </text>
    </comment>
    <comment ref="F77" authorId="0" shapeId="0" xr:uid="{F78DF301-272A-4AC2-906A-E46334447C7C}">
      <text>
        <r>
          <rPr>
            <b/>
            <sz val="9"/>
            <color indexed="81"/>
            <rFont val="Segoe UI"/>
            <family val="2"/>
          </rPr>
          <t xml:space="preserve">Mod 1 + Mod 2.1 + Mod 2.2 + Mod 3
</t>
        </r>
        <r>
          <rPr>
            <sz val="9"/>
            <color indexed="81"/>
            <rFont val="Segoe UI"/>
            <family val="2"/>
          </rPr>
          <t xml:space="preserve">
</t>
        </r>
      </text>
    </comment>
    <comment ref="G107" authorId="1" shapeId="0" xr:uid="{2567E704-125C-4760-9409-029A1B80EF37}">
      <text>
        <r>
          <rPr>
            <b/>
            <u/>
            <sz val="9"/>
            <color indexed="81"/>
            <rFont val="Calibri"/>
            <family val="2"/>
            <scheme val="minor"/>
          </rPr>
          <t>IMPORTANTE:</t>
        </r>
        <r>
          <rPr>
            <sz val="9"/>
            <color indexed="81"/>
            <rFont val="Calibri"/>
            <family val="2"/>
            <scheme val="minor"/>
          </rPr>
          <t xml:space="preserve">
</t>
        </r>
        <r>
          <rPr>
            <b/>
            <u/>
            <sz val="9"/>
            <color indexed="81"/>
            <rFont val="Calibri"/>
            <family val="2"/>
            <scheme val="minor"/>
          </rPr>
          <t>O licitante deverá comprovar o valor definido nesta célula, por meio da apresentação, no Propcesso Licitatório, do documento RAIS (Relação Anual de Informações Sociais) do ano-base anterior.</t>
        </r>
        <r>
          <rPr>
            <sz val="9"/>
            <color indexed="81"/>
            <rFont val="Calibri"/>
            <family val="2"/>
            <scheme val="minor"/>
          </rPr>
          <t xml:space="preserve">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t>
        </r>
        <r>
          <rPr>
            <b/>
            <sz val="9"/>
            <color indexed="81"/>
            <rFont val="Calibri"/>
            <family val="2"/>
            <scheme val="minor"/>
          </rPr>
          <t>8,5149</t>
        </r>
      </text>
    </comment>
    <comment ref="G112" authorId="1" shapeId="0" xr:uid="{555A6498-6717-4B61-9BE0-FACA75CC1A83}">
      <text>
        <r>
          <rPr>
            <sz val="9"/>
            <color indexed="81"/>
            <rFont val="Segoe UI"/>
            <family val="2"/>
          </rPr>
          <t xml:space="preserve">
</t>
        </r>
        <r>
          <rPr>
            <b/>
            <u/>
            <sz val="9"/>
            <color indexed="81"/>
            <rFont val="Segoe UI"/>
            <family val="2"/>
          </rPr>
          <t>OBSERVAÇÃO:</t>
        </r>
        <r>
          <rPr>
            <sz val="9"/>
            <color indexed="81"/>
            <rFont val="Segoe UI"/>
            <family val="2"/>
          </rPr>
          <t xml:space="preserve">
O percentual de </t>
        </r>
        <r>
          <rPr>
            <b/>
            <u/>
            <sz val="9"/>
            <color indexed="81"/>
            <rFont val="Segoe UI"/>
            <family val="2"/>
          </rPr>
          <t>3,00%</t>
        </r>
        <r>
          <rPr>
            <sz val="9"/>
            <color indexed="81"/>
            <rFont val="Segoe UI"/>
            <family val="2"/>
          </rPr>
          <t xml:space="preserve"> apresentado como referência para o campo "Custos Indiretos" foi extraído do Quadro da alínea "e) Demonstrativo do Cálculo do CITL – Serviço de Limpeza" do subitem 6.3.5.6.2 Componentes do CITL do Caderno de Logística 2014 para Limpeza e Conservação Predial. O Quadro está localizado na página 129 desse Caderno de Logística 2014.</t>
        </r>
      </text>
    </comment>
    <comment ref="G113" authorId="1" shapeId="0" xr:uid="{56689B96-F80B-4826-B629-C32EEA5AD7B9}">
      <text>
        <r>
          <rPr>
            <b/>
            <u/>
            <sz val="9"/>
            <color indexed="81"/>
            <rFont val="Segoe UI"/>
            <family val="2"/>
          </rPr>
          <t xml:space="preserve">
OBSERVAÇÃO:</t>
        </r>
        <r>
          <rPr>
            <sz val="9"/>
            <color indexed="81"/>
            <rFont val="Segoe UI"/>
            <family val="2"/>
          </rPr>
          <t xml:space="preserve">
O percentual de </t>
        </r>
        <r>
          <rPr>
            <b/>
            <u/>
            <sz val="9"/>
            <color indexed="81"/>
            <rFont val="Segoe UI"/>
            <family val="2"/>
          </rPr>
          <t>6,79%</t>
        </r>
        <r>
          <rPr>
            <sz val="9"/>
            <color indexed="81"/>
            <rFont val="Segoe UI"/>
            <family val="2"/>
          </rPr>
          <t xml:space="preserve"> apresentado como referência para o campo "Lucro" foi extraído do Quadro 1 da alínea "b) Lucro Antes do Imposto de Renda (L)" do subitem 6.3.5.6.2 Componentes do CITL do Caderno de Logística 2014 para Limpeza e Conservação Predial. O Quadro 1 está localizado na página 123 desse Caderno de Logística 2014.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Luciano - Alfatec</author>
  </authors>
  <commentList>
    <comment ref="E4" authorId="0" shapeId="0" xr:uid="{7C778108-BDF1-43FE-A754-5E6B2F5CBB6D}">
      <text>
        <r>
          <rPr>
            <b/>
            <sz val="9"/>
            <color indexed="81"/>
            <rFont val="Segoe UI"/>
            <family val="2"/>
          </rPr>
          <t>A quantidade foi multiplicada por três, conforme item 11.3.1 do termo de referência. O TR informa para entregar 3 jogos (2 jg no início e mais 1 jg após seis meses) mas a planilha de cuto só contemplava 1 jogo.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Mario Martins da Silva Junior</author>
  </authors>
  <commentList>
    <comment ref="J79" authorId="0" shapeId="0" xr:uid="{00000000-0006-0000-0A00-000003000000}">
      <text>
        <r>
          <rPr>
            <b/>
            <u/>
            <sz val="9"/>
            <color indexed="81"/>
            <rFont val="Calibri"/>
            <family val="2"/>
            <scheme val="minor"/>
          </rPr>
          <t>IMPORTANTE:</t>
        </r>
        <r>
          <rPr>
            <sz val="9"/>
            <color indexed="81"/>
            <rFont val="Calibri"/>
            <family val="2"/>
            <scheme val="minor"/>
          </rPr>
          <t xml:space="preserve">
</t>
        </r>
        <r>
          <rPr>
            <b/>
            <u/>
            <sz val="9"/>
            <color indexed="81"/>
            <rFont val="Calibri"/>
            <family val="2"/>
            <scheme val="minor"/>
          </rPr>
          <t>O licitante deverá comprovar o valor definido nesta célula, por meio da apresentação, no Propcesso Licitatório, do documento RAIS (Relação Anual de Informações Sociais) do ano-base anterior.</t>
        </r>
        <r>
          <rPr>
            <sz val="9"/>
            <color indexed="81"/>
            <rFont val="Calibri"/>
            <family val="2"/>
            <scheme val="minor"/>
          </rPr>
          <t xml:space="preserve">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t>
        </r>
        <r>
          <rPr>
            <b/>
            <sz val="9"/>
            <color indexed="81"/>
            <rFont val="Calibri"/>
            <family val="2"/>
            <scheme val="minor"/>
          </rPr>
          <t>8,5149</t>
        </r>
      </text>
    </comment>
    <comment ref="J111" authorId="0" shapeId="0" xr:uid="{00000000-0006-0000-0A00-000004000000}">
      <text>
        <r>
          <rPr>
            <sz val="9"/>
            <color indexed="81"/>
            <rFont val="Segoe UI"/>
            <family val="2"/>
          </rPr>
          <t xml:space="preserve">
</t>
        </r>
        <r>
          <rPr>
            <b/>
            <u/>
            <sz val="9"/>
            <color indexed="81"/>
            <rFont val="Segoe UI"/>
            <family val="2"/>
          </rPr>
          <t>OBSERVAÇÃO:</t>
        </r>
        <r>
          <rPr>
            <sz val="9"/>
            <color indexed="81"/>
            <rFont val="Segoe UI"/>
            <family val="2"/>
          </rPr>
          <t xml:space="preserve">
O percentual de </t>
        </r>
        <r>
          <rPr>
            <b/>
            <u/>
            <sz val="9"/>
            <color indexed="81"/>
            <rFont val="Segoe UI"/>
            <family val="2"/>
          </rPr>
          <t>3,00%</t>
        </r>
        <r>
          <rPr>
            <sz val="9"/>
            <color indexed="81"/>
            <rFont val="Segoe UI"/>
            <family val="2"/>
          </rPr>
          <t xml:space="preserve"> apresentado como referência para o campo "Custos Indiretos" foi extraído do Quadro da alínea "e) Demonstrativo do Cálculo do CITL – Serviço de Limpeza" do subitem 6.3.5.6.2 Componentes do CITL do Caderno de Logística 2014 para Limpeza e Conservação Predial. O Quadro está localizado na página 129 desse Caderno de Logística 2014.</t>
        </r>
      </text>
    </comment>
    <comment ref="J112" authorId="0" shapeId="0" xr:uid="{00000000-0006-0000-0A00-000005000000}">
      <text>
        <r>
          <rPr>
            <b/>
            <u/>
            <sz val="9"/>
            <color indexed="81"/>
            <rFont val="Segoe UI"/>
            <family val="2"/>
          </rPr>
          <t xml:space="preserve">
OBSERVAÇÃO:</t>
        </r>
        <r>
          <rPr>
            <sz val="9"/>
            <color indexed="81"/>
            <rFont val="Segoe UI"/>
            <family val="2"/>
          </rPr>
          <t xml:space="preserve">
O percentual de </t>
        </r>
        <r>
          <rPr>
            <b/>
            <u/>
            <sz val="9"/>
            <color indexed="81"/>
            <rFont val="Segoe UI"/>
            <family val="2"/>
          </rPr>
          <t>6,79%</t>
        </r>
        <r>
          <rPr>
            <sz val="9"/>
            <color indexed="81"/>
            <rFont val="Segoe UI"/>
            <family val="2"/>
          </rPr>
          <t xml:space="preserve"> apresentado como referência para o campo "Lucro" foi extraído do Quadro 1 da alínea "b) Lucro Antes do Imposto de Renda (L)" do subitem 6.3.5.6.2 Componentes do CITL do Caderno de Logística 2014 para Limpeza e Conservação Predial. O Quadro 1 está localizado na página 123 desse Caderno de Logística 2014.
 </t>
        </r>
      </text>
    </comment>
  </commentList>
</comments>
</file>

<file path=xl/sharedStrings.xml><?xml version="1.0" encoding="utf-8"?>
<sst xmlns="http://schemas.openxmlformats.org/spreadsheetml/2006/main" count="3875" uniqueCount="1224">
  <si>
    <t xml:space="preserve"> </t>
  </si>
  <si>
    <t xml:space="preserve">POLÍCIA FEDERAL
SUPERINTENDÊNCIA DE POLÍCIA FEDERAL EM SÃO PAULO
</t>
  </si>
  <si>
    <t>Preencher somente as células em amarelo</t>
  </si>
  <si>
    <t>Item</t>
  </si>
  <si>
    <t>Local</t>
  </si>
  <si>
    <t>Cargo/Função</t>
  </si>
  <si>
    <t>Cod. Função</t>
  </si>
  <si>
    <t>Profissional Qualificado</t>
  </si>
  <si>
    <t>Salário-Base</t>
  </si>
  <si>
    <t>Valor da Tarifa 
do Vale Transporte</t>
  </si>
  <si>
    <t>Alíquota ISS
(%)</t>
  </si>
  <si>
    <t>Sindicato Patronal  (Nome ou SIGLA):</t>
  </si>
  <si>
    <t>CNPJ 
Sindicato Patronal</t>
  </si>
  <si>
    <t>Sindicato Empregados  (Nome ou SIGLA):</t>
  </si>
  <si>
    <t>CNPJ 
Sindicato Empregados</t>
  </si>
  <si>
    <t>Ano do Acordo, Convenção ou Sentença Normativa em Dissídio Coletivo:</t>
  </si>
  <si>
    <t>Data Base das Categorias:</t>
  </si>
  <si>
    <t>Número do Registro do CCT:</t>
  </si>
  <si>
    <t>2.3.1</t>
  </si>
  <si>
    <t>2.3.2</t>
  </si>
  <si>
    <t>2.3.3</t>
  </si>
  <si>
    <t>2.3.4</t>
  </si>
  <si>
    <t>2.3.5</t>
  </si>
  <si>
    <t>2.3.6</t>
  </si>
  <si>
    <t>2.3.7</t>
  </si>
  <si>
    <t>2.3.8</t>
  </si>
  <si>
    <t>2.3.9</t>
  </si>
  <si>
    <t>Valor Descontado do Trabalhador 
(6%) - VT</t>
  </si>
  <si>
    <t>Custo Efetivo do 
Vale Transporte</t>
  </si>
  <si>
    <t>2.3.11</t>
  </si>
  <si>
    <t>Sede</t>
  </si>
  <si>
    <t>Supervisor_40h</t>
  </si>
  <si>
    <t>SEDE_SUP</t>
  </si>
  <si>
    <t>SIM</t>
  </si>
  <si>
    <t>SINAENCO-SP</t>
  </si>
  <si>
    <t>59.940.957/0001-60</t>
  </si>
  <si>
    <t>SEESP</t>
  </si>
  <si>
    <t>62.637.137/0001-09</t>
  </si>
  <si>
    <t>2024/2025</t>
  </si>
  <si>
    <t>01/05</t>
  </si>
  <si>
    <t>SP008793/2024</t>
  </si>
  <si>
    <t>Encarregado_44h</t>
  </si>
  <si>
    <t>SEDE_ENC</t>
  </si>
  <si>
    <t>SINDUSCON-SP</t>
  </si>
  <si>
    <t>61.687.117/0001-80</t>
  </si>
  <si>
    <t>SINTRACON-SP</t>
  </si>
  <si>
    <t>60.505.260/0001-40</t>
  </si>
  <si>
    <t>SP006536/2024</t>
  </si>
  <si>
    <t>Oficial de Manutenção_44h</t>
  </si>
  <si>
    <t>SEDE_OFMAN44</t>
  </si>
  <si>
    <t>SP006536/2025</t>
  </si>
  <si>
    <t>Assistente Administrativo_40h</t>
  </si>
  <si>
    <t>60.505.260/0001-41</t>
  </si>
  <si>
    <t>2024/2026</t>
  </si>
  <si>
    <t>01/06</t>
  </si>
  <si>
    <t>SP006536/2026</t>
  </si>
  <si>
    <t>Auxiliar de Manutenção_44h</t>
  </si>
  <si>
    <t>SEDE_AUXMAN44</t>
  </si>
  <si>
    <t>NÃO</t>
  </si>
  <si>
    <t>SP006536/2027</t>
  </si>
  <si>
    <t>Técnico em CFTV e Controle de Acesso_44h</t>
  </si>
  <si>
    <t>SEDE_CFTV44</t>
  </si>
  <si>
    <t>SP006536/2028</t>
  </si>
  <si>
    <t>Técnico em Refrigeração_44h</t>
  </si>
  <si>
    <t>SEDE_TECREF44</t>
  </si>
  <si>
    <t>SP006536/2029</t>
  </si>
  <si>
    <t>Técnico de sistemas eletrônicos e automatizados_44h</t>
  </si>
  <si>
    <t>Oficial de Manutenção_12x36D</t>
  </si>
  <si>
    <t>SEDE_OFMAN12X36D</t>
  </si>
  <si>
    <t>SP006536/2031</t>
  </si>
  <si>
    <t>Oficial de Manutenção_12x36N</t>
  </si>
  <si>
    <t>SEDE_OFMAN12X36N</t>
  </si>
  <si>
    <t>SP006536/2032</t>
  </si>
  <si>
    <t>Técnico em Eletroeletrônica
12x36 - Diurno</t>
  </si>
  <si>
    <t>SEDE_TECELETRO12X36D</t>
  </si>
  <si>
    <t>SP006536/2033</t>
  </si>
  <si>
    <t>Técnico em Eletroeletrônica
12x36 - Noturno</t>
  </si>
  <si>
    <t>SEDE_TECELETRO12X36N</t>
  </si>
  <si>
    <t>SP006536/2034</t>
  </si>
  <si>
    <t>Bombeiro Hidráulico_44h</t>
  </si>
  <si>
    <t>SEDE_BOMHID44</t>
  </si>
  <si>
    <t>SP006536/2035</t>
  </si>
  <si>
    <t>Marceneiro_44h</t>
  </si>
  <si>
    <t>SEDE_MARC44</t>
  </si>
  <si>
    <t>SP006536/2036</t>
  </si>
  <si>
    <t>Serralheiro_44h</t>
  </si>
  <si>
    <t>SEDE_SERRA44</t>
  </si>
  <si>
    <t>SP006536/2037</t>
  </si>
  <si>
    <t>Jardineiro_40h</t>
  </si>
  <si>
    <t>SP006536/2038</t>
  </si>
  <si>
    <t>Bombeiro Civil_12x36D</t>
  </si>
  <si>
    <t>SEDE_BOMCIV12X36D</t>
  </si>
  <si>
    <t>SIND DAS EMP DE PREST DE SER T C A M O T T NO E DE SP</t>
  </si>
  <si>
    <t>66.662.974/0001-49</t>
  </si>
  <si>
    <t>SINDIBOMBEIROS</t>
  </si>
  <si>
    <t>60.899.879/0001-87</t>
  </si>
  <si>
    <t>01/09</t>
  </si>
  <si>
    <t>SP011144/2024</t>
  </si>
  <si>
    <t>JGRB</t>
  </si>
  <si>
    <t>JGRB_OFMAN44</t>
  </si>
  <si>
    <t>CAB</t>
  </si>
  <si>
    <t>CAB_OFMAN44</t>
  </si>
  <si>
    <t>AQA</t>
  </si>
  <si>
    <t>AQA_OFMAN44</t>
  </si>
  <si>
    <r>
      <t>SINDINSTALAÇÃO-SP</t>
    </r>
    <r>
      <rPr>
        <sz val="10"/>
        <color rgb="FF000000"/>
        <rFont val="Arial"/>
        <family val="2"/>
      </rPr>
      <t> </t>
    </r>
  </si>
  <si>
    <t>62.655.659/0001-33</t>
  </si>
  <si>
    <t>FETICON-SP</t>
  </si>
  <si>
    <t>60.505.252/0001- 02</t>
  </si>
  <si>
    <t>SP008114/2024</t>
  </si>
  <si>
    <t>ARU</t>
  </si>
  <si>
    <t>ARU_OFMAN44</t>
  </si>
  <si>
    <t>62.655.659/0001-34</t>
  </si>
  <si>
    <t>BRU</t>
  </si>
  <si>
    <t>BRU_OFMAN44</t>
  </si>
  <si>
    <t>62.655.659/0001-35</t>
  </si>
  <si>
    <t>CAS</t>
  </si>
  <si>
    <t>62.655.659/0001-36</t>
  </si>
  <si>
    <t>CAS_OFMAN44</t>
  </si>
  <si>
    <t>62.655.659/0001-37</t>
  </si>
  <si>
    <t>CZO</t>
  </si>
  <si>
    <t>CZO_OFMAN44</t>
  </si>
  <si>
    <t>62.655.659/0001-39</t>
  </si>
  <si>
    <t>JLS</t>
  </si>
  <si>
    <t>JLS_OFMAN44</t>
  </si>
  <si>
    <t>62.655.659/0001-40</t>
  </si>
  <si>
    <t>MII</t>
  </si>
  <si>
    <t>MII_OFMAN44</t>
  </si>
  <si>
    <t>62.655.659/0001-41</t>
  </si>
  <si>
    <t>PCA</t>
  </si>
  <si>
    <t>PCA_OFMAN44</t>
  </si>
  <si>
    <t>62.655.659/0001-42</t>
  </si>
  <si>
    <t>PDE</t>
  </si>
  <si>
    <t>PDE_OFMAN44</t>
  </si>
  <si>
    <t>62.655.659/0001-43</t>
  </si>
  <si>
    <t>R.P.O.</t>
  </si>
  <si>
    <t>RPO_OFMAN44</t>
  </si>
  <si>
    <t>62.655.659/0001-45</t>
  </si>
  <si>
    <t>SJE</t>
  </si>
  <si>
    <t>SJE_OFMAN44</t>
  </si>
  <si>
    <t>62.655.659/0001-46</t>
  </si>
  <si>
    <t>SJK</t>
  </si>
  <si>
    <t>SJK_OFMAN44</t>
  </si>
  <si>
    <t>62.655.659/0001-47</t>
  </si>
  <si>
    <t>SOD</t>
  </si>
  <si>
    <t>SOD_OFMAN44</t>
  </si>
  <si>
    <t>62.655.659/0001-48</t>
  </si>
  <si>
    <t>SSB</t>
  </si>
  <si>
    <t>SSB_OFMAN44</t>
  </si>
  <si>
    <t>62.655.659/0001-49</t>
  </si>
  <si>
    <t>STS</t>
  </si>
  <si>
    <t>STS_TECELETROT44</t>
  </si>
  <si>
    <t>62.655.659/0001-51</t>
  </si>
  <si>
    <t>STS_OFMAN44</t>
  </si>
  <si>
    <t>62.655.659/0001-52</t>
  </si>
  <si>
    <t>SUBMÓDULO 2.2 – Encargos Previdenciários (GPS), Fundo de Garantia por Tempo de Serviço (FGTS) e outras contribuições</t>
  </si>
  <si>
    <t>2.2 – GPS, FGTS e outras contribuições</t>
  </si>
  <si>
    <t>Índice</t>
  </si>
  <si>
    <t>A</t>
  </si>
  <si>
    <t>INSS</t>
  </si>
  <si>
    <t>B</t>
  </si>
  <si>
    <t>Salário educação</t>
  </si>
  <si>
    <t>C</t>
  </si>
  <si>
    <t>Seguro Acidente de Trabalho (SAT)</t>
  </si>
  <si>
    <t xml:space="preserve">                RAT  (Riscos Ambientais do Trabalho)</t>
  </si>
  <si>
    <t xml:space="preserve">                 FAP (Fator Acidentário de Prevenção)</t>
  </si>
  <si>
    <t>D</t>
  </si>
  <si>
    <t>SESC ou SESI</t>
  </si>
  <si>
    <t>E</t>
  </si>
  <si>
    <t>SENAI ou SENAC</t>
  </si>
  <si>
    <t>F</t>
  </si>
  <si>
    <t>SEBRAE</t>
  </si>
  <si>
    <t>G</t>
  </si>
  <si>
    <t>INCRA</t>
  </si>
  <si>
    <t>H</t>
  </si>
  <si>
    <t>FGTS</t>
  </si>
  <si>
    <t>TOTAL</t>
  </si>
  <si>
    <t>2.3 -  Benefícios Mensais e Diários</t>
  </si>
  <si>
    <t>2.3.1 Tíquete Refeição</t>
  </si>
  <si>
    <t>Desconto do Funcionário</t>
  </si>
  <si>
    <t xml:space="preserve">Custo Unitário </t>
  </si>
  <si>
    <t>Custo do Benefício</t>
  </si>
  <si>
    <t>Supervisor</t>
  </si>
  <si>
    <t>(***) cláusula 31</t>
  </si>
  <si>
    <t>Bombeiro Civil</t>
  </si>
  <si>
    <t>(**) cláusula 22</t>
  </si>
  <si>
    <t xml:space="preserve">Demais Cargos </t>
  </si>
  <si>
    <t>2.3.2 Cesta Básica / Vale Supermercado</t>
  </si>
  <si>
    <t>(**) cláusula 23</t>
  </si>
  <si>
    <t>(*) cláusula 12 "c"</t>
  </si>
  <si>
    <t>2.3.3 Café da Manhã e Lanche da Tarde</t>
  </si>
  <si>
    <t>(*) cláusula 12 "a" e "b"</t>
  </si>
  <si>
    <t>2.3.4 Seguro de Vida em Grupo</t>
  </si>
  <si>
    <t>(***) cláusula 15</t>
  </si>
  <si>
    <t>(**) cláusula 27</t>
  </si>
  <si>
    <t>(*) cláusula 17</t>
  </si>
  <si>
    <t>2.3.5. Assistência Saúde</t>
  </si>
  <si>
    <t>Previsão do CCT (%)</t>
  </si>
  <si>
    <t>Base de Cálculo</t>
  </si>
  <si>
    <t>(***) cláusula 35, por analogia utilizou-se o valor praticado para as demais funcões da Construção Civil</t>
  </si>
  <si>
    <t>(**) cláusula 33, por analogia utilizou-se o valor praticado para as demais funcões da Construção Civil</t>
  </si>
  <si>
    <t>(*) cláusula 36</t>
  </si>
  <si>
    <t>2.3.6 Auxílio Funeral</t>
  </si>
  <si>
    <t>2.3.7 Auxílio Creche</t>
  </si>
  <si>
    <t>Probabilidade de Incidência (%)</t>
  </si>
  <si>
    <t>(***) cláusula 14</t>
  </si>
  <si>
    <t>(**) cláusula 26</t>
  </si>
  <si>
    <t>(*) cláusula 14</t>
  </si>
  <si>
    <t>2.3.8. Ajuda Filho Deficiente</t>
  </si>
  <si>
    <t>(**) cláusula 77</t>
  </si>
  <si>
    <t>2.3.9 Benefício Social Familiar</t>
  </si>
  <si>
    <t>(**) cláusula 87</t>
  </si>
  <si>
    <t>2.3.11 Outro Especifique</t>
  </si>
  <si>
    <t>MÓDULO 3 - PROVISÃO PARA RESCISÃO</t>
  </si>
  <si>
    <t>Probabilidade de 
Ocorrência</t>
  </si>
  <si>
    <r>
      <t xml:space="preserve">API - Aviso Prévio Indenizado - Com Probabilidade
</t>
    </r>
    <r>
      <rPr>
        <b/>
        <u/>
        <sz val="12"/>
        <color indexed="36"/>
        <rFont val="Calibri"/>
        <family val="2"/>
        <scheme val="minor"/>
      </rPr>
      <t>(</t>
    </r>
    <r>
      <rPr>
        <b/>
        <u/>
        <sz val="12"/>
        <color indexed="10"/>
        <rFont val="Calibri"/>
        <family val="2"/>
        <scheme val="minor"/>
      </rPr>
      <t>OBJETO DE DISPUTA, PODE-SE INSERIR VALORES CENTESIMAIS</t>
    </r>
    <r>
      <rPr>
        <b/>
        <u/>
        <sz val="12"/>
        <color indexed="36"/>
        <rFont val="Calibri"/>
        <family val="2"/>
        <scheme val="minor"/>
      </rPr>
      <t>)</t>
    </r>
  </si>
  <si>
    <t>Deve ser 5,00% ou maior→</t>
  </si>
  <si>
    <t>MÓDULO 4 – Custo de Reposição do Profissional Ausente</t>
  </si>
  <si>
    <t>SUBMÓDULO 4.1 – Ausência Legais</t>
  </si>
  <si>
    <t>4.1 – Ausências Legais</t>
  </si>
  <si>
    <t>EM DIAS NO ANO ↓</t>
  </si>
  <si>
    <r>
      <t xml:space="preserve">Substituto na cobertura de Férias </t>
    </r>
    <r>
      <rPr>
        <b/>
        <u/>
        <sz val="12"/>
        <color indexed="17"/>
        <rFont val="Calibri"/>
        <family val="2"/>
        <scheme val="minor"/>
      </rPr>
      <t>(NÃO SERÁ OBJETO DE DISPUTA)</t>
    </r>
  </si>
  <si>
    <r>
      <t>Ausências Legais em</t>
    </r>
    <r>
      <rPr>
        <b/>
        <sz val="12"/>
        <color rgb="FFFF0000"/>
        <rFont val="Calibri"/>
        <family val="2"/>
        <scheme val="minor"/>
      </rPr>
      <t xml:space="preserve"> </t>
    </r>
    <r>
      <rPr>
        <b/>
        <u/>
        <sz val="12"/>
        <color rgb="FFFF0000"/>
        <rFont val="Calibri"/>
        <family val="2"/>
        <scheme val="minor"/>
      </rPr>
      <t>DIAS ÚTEIS</t>
    </r>
    <r>
      <rPr>
        <sz val="12"/>
        <rFont val="Calibri"/>
        <family val="2"/>
        <scheme val="minor"/>
      </rPr>
      <t xml:space="preserve"> (incluem todos as demais ausências como maternidade, paternidade, acidente de trabalho, etc) </t>
    </r>
    <r>
      <rPr>
        <u/>
        <sz val="12"/>
        <color indexed="36"/>
        <rFont val="Calibri"/>
        <family val="2"/>
        <scheme val="minor"/>
      </rPr>
      <t>(</t>
    </r>
    <r>
      <rPr>
        <u/>
        <sz val="12"/>
        <color indexed="10"/>
        <rFont val="Calibri"/>
        <family val="2"/>
        <scheme val="minor"/>
      </rPr>
      <t>OBJETO DE DISPUTA, PODE-SE INSERIR VALORES FRACIONADOS</t>
    </r>
    <r>
      <rPr>
        <u/>
        <sz val="12"/>
        <color indexed="36"/>
        <rFont val="Calibri"/>
        <family val="2"/>
        <scheme val="minor"/>
      </rPr>
      <t>)</t>
    </r>
    <r>
      <rPr>
        <sz val="12"/>
        <rFont val="Calibri"/>
        <family val="2"/>
        <scheme val="minor"/>
      </rPr>
      <t xml:space="preserve">
</t>
    </r>
    <r>
      <rPr>
        <sz val="12"/>
        <color indexed="36"/>
        <rFont val="Calibri"/>
        <family val="2"/>
        <scheme val="minor"/>
      </rPr>
      <t>EMPRESA RECEBERÁ ESSE VALOR MENSALMENTE, INDEPENDENTEMENTE DAS OCORRÊNCIAS SEREM MAIORES OU MENORES QUE O VALOR OFERTADO</t>
    </r>
  </si>
  <si>
    <t>MÓDULO 6 – Custos Indiretos, Tributos e Lucro</t>
  </si>
  <si>
    <t>6 – Custos Indiretos, Tributos e Lucro</t>
  </si>
  <si>
    <t>Alíquota</t>
  </si>
  <si>
    <r>
      <t>Custos Indiretos (percentual da empresa) (</t>
    </r>
    <r>
      <rPr>
        <b/>
        <u/>
        <sz val="12"/>
        <color indexed="10"/>
        <rFont val="Calibri"/>
        <family val="2"/>
        <scheme val="minor"/>
      </rPr>
      <t>OBJETO DE DISPUTA, PODE-SE INSERIR VALORES FRACIONADOS</t>
    </r>
    <r>
      <rPr>
        <sz val="12"/>
        <rFont val="Calibri"/>
        <family val="2"/>
        <scheme val="minor"/>
      </rPr>
      <t>)</t>
    </r>
  </si>
  <si>
    <r>
      <t>Lucro (percentual da empresa) (</t>
    </r>
    <r>
      <rPr>
        <b/>
        <u/>
        <sz val="12"/>
        <color indexed="10"/>
        <rFont val="Calibri"/>
        <family val="2"/>
        <scheme val="minor"/>
      </rPr>
      <t>OBJETO DE DISPUTA, PODE-SE INSERIR VALORES FRACIONADOS</t>
    </r>
    <r>
      <rPr>
        <sz val="12"/>
        <rFont val="Calibri"/>
        <family val="2"/>
        <scheme val="minor"/>
      </rPr>
      <t>)</t>
    </r>
  </si>
  <si>
    <t>Tributos</t>
  </si>
  <si>
    <t>C.1 Tributos Federais</t>
  </si>
  <si>
    <t>PIS:</t>
  </si>
  <si>
    <t>COFINS:</t>
  </si>
  <si>
    <t>Outros: Especifique</t>
  </si>
  <si>
    <t>Quantidade de bilhetes VT por dia</t>
  </si>
  <si>
    <t>Quantidade de bilhetes VT por dia em Jales</t>
  </si>
  <si>
    <t>Participação máxima dos empregados no custeio do VT (6% sobre o salario da categoria)</t>
  </si>
  <si>
    <t>Dias Úteis/Mês - 12X36</t>
  </si>
  <si>
    <t>Dias Úteis/Mês - 44h</t>
  </si>
  <si>
    <t>Valor do Salário Mínimo Nacional</t>
  </si>
  <si>
    <t>Preço da tarifa de SP</t>
  </si>
  <si>
    <t>Preço Unitário do VT</t>
  </si>
  <si>
    <t>Integração</t>
  </si>
  <si>
    <t>ônibus</t>
  </si>
  <si>
    <t>Para fins de estimativa, considerando os vários modais de transporte existentes na Capital e SP e para garantir a igualdade de condições na seleção dos trabalhadores, a Administração considerou que uma parcela deles fará uso da modalidade de integração ônibusxmetroferroviário, conforme proporção descrita no quadro acima.</t>
  </si>
  <si>
    <t xml:space="preserve">
POLÍCIA FEDERAL
SUPERINTENDÊNCIA DE POLÍCIA FEDERAL EM SÃO PAULO
</t>
  </si>
  <si>
    <t>INCIDE SOBRE A MÃO DE OBRA EVENTUAL - BDI 1</t>
  </si>
  <si>
    <t>INCIDE SOBRE O FORNECIMENTO DE PEÇAS - BDI 2</t>
  </si>
  <si>
    <t>BONIFICAÇÃO E DESPESAS INDIRETAS - BDI</t>
  </si>
  <si>
    <t>BONIFICAÇÃO E DESPESAS INDIRETAS - BDI DIFERENCIADO</t>
  </si>
  <si>
    <t>GERAL</t>
  </si>
  <si>
    <t>ITEM</t>
  </si>
  <si>
    <t>DISCRIMINAÇÃO</t>
  </si>
  <si>
    <t>TAXA  (%)</t>
  </si>
  <si>
    <t>ADMINISTRAÇÃO CENTRAL</t>
  </si>
  <si>
    <t>SEGUROS, RISCOS E GARANTIAS</t>
  </si>
  <si>
    <t>DESPESAS FINANCEIRAS</t>
  </si>
  <si>
    <t>TRIBUTOS</t>
  </si>
  <si>
    <t>LUCRO</t>
  </si>
  <si>
    <t>BDI ADOTADO</t>
  </si>
  <si>
    <t>BDI DIFERENCIADO ADOTADO</t>
  </si>
  <si>
    <t>DETALHAMENTO</t>
  </si>
  <si>
    <t>SEGUROS, RISCOS E GARANTIAS CONSIDERADOS</t>
  </si>
  <si>
    <t>2.1</t>
  </si>
  <si>
    <t>Seguros + Garantias</t>
  </si>
  <si>
    <t>2.3</t>
  </si>
  <si>
    <t>Riscos</t>
  </si>
  <si>
    <t>TRIBUTOS CONSIDERADOS</t>
  </si>
  <si>
    <t>4.1</t>
  </si>
  <si>
    <t>ISS</t>
  </si>
  <si>
    <t>4.2</t>
  </si>
  <si>
    <t>PIS</t>
  </si>
  <si>
    <t>4.3</t>
  </si>
  <si>
    <t>COFINS</t>
  </si>
  <si>
    <t>CÁLCULO DO BDI</t>
  </si>
  <si>
    <r>
      <t xml:space="preserve">      </t>
    </r>
    <r>
      <rPr>
        <b/>
        <sz val="10"/>
        <rFont val="Times New Roman"/>
        <family val="1"/>
      </rPr>
      <t>BDI</t>
    </r>
    <r>
      <rPr>
        <sz val="10"/>
        <rFont val="Times New Roman"/>
        <family val="1"/>
      </rPr>
      <t xml:space="preserve"> = </t>
    </r>
    <r>
      <rPr>
        <u/>
        <sz val="10"/>
        <rFont val="Times New Roman"/>
        <family val="1"/>
      </rPr>
      <t>(1+(</t>
    </r>
    <r>
      <rPr>
        <b/>
        <u/>
        <sz val="10"/>
        <rFont val="Times New Roman"/>
        <family val="1"/>
      </rPr>
      <t>AC</t>
    </r>
    <r>
      <rPr>
        <u/>
        <sz val="10"/>
        <rFont val="Times New Roman"/>
        <family val="1"/>
      </rPr>
      <t>+</t>
    </r>
    <r>
      <rPr>
        <b/>
        <u/>
        <sz val="10"/>
        <rFont val="Times New Roman"/>
        <family val="1"/>
      </rPr>
      <t>R</t>
    </r>
    <r>
      <rPr>
        <u/>
        <sz val="10"/>
        <rFont val="Times New Roman"/>
        <family val="1"/>
      </rPr>
      <t>+</t>
    </r>
    <r>
      <rPr>
        <b/>
        <u/>
        <sz val="10"/>
        <rFont val="Times New Roman"/>
        <family val="1"/>
      </rPr>
      <t>S</t>
    </r>
    <r>
      <rPr>
        <u/>
        <sz val="10"/>
        <rFont val="Times New Roman"/>
        <family val="1"/>
      </rPr>
      <t>+</t>
    </r>
    <r>
      <rPr>
        <b/>
        <u/>
        <sz val="10"/>
        <rFont val="Times New Roman"/>
        <family val="1"/>
      </rPr>
      <t>G</t>
    </r>
    <r>
      <rPr>
        <u/>
        <sz val="10"/>
        <rFont val="Times New Roman"/>
        <family val="1"/>
      </rPr>
      <t>))(1+</t>
    </r>
    <r>
      <rPr>
        <b/>
        <u/>
        <sz val="10"/>
        <rFont val="Times New Roman"/>
        <family val="1"/>
      </rPr>
      <t>DF</t>
    </r>
    <r>
      <rPr>
        <u/>
        <sz val="10"/>
        <rFont val="Times New Roman"/>
        <family val="1"/>
      </rPr>
      <t>)(1+</t>
    </r>
    <r>
      <rPr>
        <b/>
        <u/>
        <sz val="10"/>
        <rFont val="Times New Roman"/>
        <family val="1"/>
      </rPr>
      <t>L</t>
    </r>
    <r>
      <rPr>
        <u/>
        <sz val="10"/>
        <rFont val="Times New Roman"/>
        <family val="1"/>
      </rPr>
      <t xml:space="preserve">)  </t>
    </r>
    <r>
      <rPr>
        <sz val="10"/>
        <rFont val="Times New Roman"/>
        <family val="1"/>
      </rPr>
      <t xml:space="preserve"> - 1, onde:</t>
    </r>
  </si>
  <si>
    <r>
      <t>(1-</t>
    </r>
    <r>
      <rPr>
        <b/>
        <sz val="10"/>
        <rFont val="Times New Roman"/>
        <family val="1"/>
      </rPr>
      <t>T</t>
    </r>
    <r>
      <rPr>
        <sz val="10"/>
        <rFont val="Times New Roman"/>
        <family val="1"/>
      </rPr>
      <t>)</t>
    </r>
  </si>
  <si>
    <r>
      <rPr>
        <b/>
        <sz val="10"/>
        <rFont val="Times New Roman"/>
        <family val="1"/>
      </rPr>
      <t>AC</t>
    </r>
    <r>
      <rPr>
        <sz val="10"/>
        <rFont val="Times New Roman"/>
        <family val="1"/>
      </rPr>
      <t xml:space="preserve"> = Taxa representativa das despesas de rateio da Administração Central</t>
    </r>
  </si>
  <si>
    <r>
      <rPr>
        <b/>
        <sz val="10"/>
        <rFont val="Times New Roman"/>
        <family val="1"/>
      </rPr>
      <t>R</t>
    </r>
    <r>
      <rPr>
        <sz val="10"/>
        <rFont val="Times New Roman"/>
        <family val="1"/>
      </rPr>
      <t xml:space="preserve"> = Taxa representativa de Riscos</t>
    </r>
  </si>
  <si>
    <r>
      <rPr>
        <b/>
        <sz val="10"/>
        <rFont val="Times New Roman"/>
        <family val="1"/>
      </rPr>
      <t>S</t>
    </r>
    <r>
      <rPr>
        <sz val="10"/>
        <rFont val="Times New Roman"/>
        <family val="1"/>
      </rPr>
      <t xml:space="preserve"> = Taxa representativa de Seguros</t>
    </r>
  </si>
  <si>
    <r>
      <rPr>
        <b/>
        <sz val="10"/>
        <rFont val="Times New Roman"/>
        <family val="1"/>
      </rPr>
      <t>G</t>
    </r>
    <r>
      <rPr>
        <sz val="10"/>
        <rFont val="Times New Roman"/>
        <family val="1"/>
      </rPr>
      <t xml:space="preserve"> = Taxa representativa de Garantias</t>
    </r>
  </si>
  <si>
    <r>
      <rPr>
        <b/>
        <sz val="10"/>
        <rFont val="Times New Roman"/>
        <family val="1"/>
      </rPr>
      <t>DF</t>
    </r>
    <r>
      <rPr>
        <sz val="10"/>
        <rFont val="Times New Roman"/>
        <family val="1"/>
      </rPr>
      <t xml:space="preserve"> = Taxa representativa de Despesas Financeiras</t>
    </r>
  </si>
  <si>
    <r>
      <rPr>
        <b/>
        <sz val="10"/>
        <rFont val="Times New Roman"/>
        <family val="1"/>
      </rPr>
      <t>L</t>
    </r>
    <r>
      <rPr>
        <sz val="10"/>
        <rFont val="Times New Roman"/>
        <family val="1"/>
      </rPr>
      <t xml:space="preserve"> = Taxa representativa do Lucro/Remuneração</t>
    </r>
  </si>
  <si>
    <r>
      <rPr>
        <b/>
        <sz val="10"/>
        <rFont val="Times New Roman"/>
        <family val="1"/>
      </rPr>
      <t>T</t>
    </r>
    <r>
      <rPr>
        <sz val="10"/>
        <rFont val="Times New Roman"/>
        <family val="1"/>
      </rPr>
      <t xml:space="preserve"> = Taxa representativa da Incidência de Tributos</t>
    </r>
  </si>
  <si>
    <t>A empresa não poderá apresentar valores unitários superiores aos valores unitários de referência estimados pela Administração</t>
  </si>
  <si>
    <t xml:space="preserve">UNIFORMES </t>
  </si>
  <si>
    <t>CATMAT</t>
  </si>
  <si>
    <t>VALOR UNITÁRIO</t>
  </si>
  <si>
    <t>Quantidade SEMESTRAL por Colaborador</t>
  </si>
  <si>
    <t>VALOR SEMESTRAL por Colaborador</t>
  </si>
  <si>
    <t>VALOR MENSAL por Colaborador</t>
  </si>
  <si>
    <t>CAMISAS GOLA POLO, 100% EM ALGODÃO DE MANGA CURTA</t>
  </si>
  <si>
    <t>CALÇA PROFISSIONAL, CONFECCIONADA EM JEANS, QUATRO BOLSOS CHAPADOS E PASSANTE PARA CINTO. RESISTENTE A RASGOS E ABRASÕES EM GERAL</t>
  </si>
  <si>
    <t>CINTO EM COURO</t>
  </si>
  <si>
    <t>BLUSÃO DE MOLETON - MANGA LONGA</t>
  </si>
  <si>
    <t>BOTAS DE SEGURANÇA - BOTA PROFISSIONAL, CONFECCIONADA EM COURO, SOLADO EM POLIURETANO/BORRACHA E BIQUEIRA PLÁSTICA</t>
  </si>
  <si>
    <t>PAR DE MEIAS, ATOALHADAS E 100% ALGODÃO</t>
  </si>
  <si>
    <t>CRACHÁ</t>
  </si>
  <si>
    <t>613463 </t>
  </si>
  <si>
    <t>VALOR TOTAL UNIFORMES</t>
  </si>
  <si>
    <t>EPI's</t>
  </si>
  <si>
    <t>Quantidade ANUAL por Colaborador</t>
  </si>
  <si>
    <t>VALOR ANUAL por Colaborador</t>
  </si>
  <si>
    <t>AVENTAL DE PROTEÇÃO S/ MANGAS</t>
  </si>
  <si>
    <t>CINTURÃO PARA-QUEDISTA</t>
  </si>
  <si>
    <t>CAPACETE</t>
  </si>
  <si>
    <t>LUVAS DE PROTEÇÃO COM POLIURETANO</t>
  </si>
  <si>
    <t>PROTETOR FACIAL PLANO</t>
  </si>
  <si>
    <t>PROTETOR RESPIRATÓRIO</t>
  </si>
  <si>
    <t>ÓCULOS DE PROTEÇÃO</t>
  </si>
  <si>
    <t>PROTETOR AURICULAR - Tipo Plug</t>
  </si>
  <si>
    <t>VALOR TOTAL EPI</t>
  </si>
  <si>
    <t>VALOR TOTAL UNIFORMES + EPIs</t>
  </si>
  <si>
    <t>Especificação</t>
  </si>
  <si>
    <t>Unidade</t>
  </si>
  <si>
    <t>Código CATMAT</t>
  </si>
  <si>
    <t>Qtde. Estimada</t>
  </si>
  <si>
    <t>Vida Útil
(em meses)</t>
  </si>
  <si>
    <t>Preço Unitário Máximo de Referência</t>
  </si>
  <si>
    <t xml:space="preserve">Depreciação Mensal </t>
  </si>
  <si>
    <t>mediana</t>
  </si>
  <si>
    <t xml:space="preserve">MODULO DE ANDAIME TUBULAR 1 X 1 M </t>
  </si>
  <si>
    <t>UNIDADE</t>
  </si>
  <si>
    <t xml:space="preserve">MODULO DE ANDAIME TUBULAR 1 X 1,5 M </t>
  </si>
  <si>
    <t>ALICATE PARA CRIMPAGEM</t>
  </si>
  <si>
    <t>CORDA 12MM COM CARGA DE RUPTURA DE 20 KN</t>
  </si>
  <si>
    <t>Rolo 100m</t>
  </si>
  <si>
    <t>SINAPI 38200</t>
  </si>
  <si>
    <t>CADEIRA SUSPENSA SOBE E DESCE Mínimo de 120 kg</t>
  </si>
  <si>
    <t>SINAPI 38374</t>
  </si>
  <si>
    <t>TRAVA QUEDAS PARA CADEIRA SUSPENSA</t>
  </si>
  <si>
    <t>SINAPI 36149</t>
  </si>
  <si>
    <t>CABO DE AÇO 1/4" 6x19AF</t>
  </si>
  <si>
    <t xml:space="preserve">SICR03 M0809 </t>
  </si>
  <si>
    <t>ALICATE BICO MEIA CANA, MATERIAL AÇO CROMO VANÁDIO, TIPO CABO ISOLADO, TIPO RETO, COMPRIMENTO 6, CARACTERÍSTICAS ADICIONAIS LONGO, FOSTATIZADO</t>
  </si>
  <si>
    <t>ALICATE BOMBA D´ÁGUA, MATERIAL AÇO VANÁDIO, TRATAMENTO SUPERFICIAL NIQUELADO, MORDENTE INFERIOR CURVO E BATENTE DE SEGURANÇA, AJUSTE 6 POSIÇÕES, ABERTURA DA BOCA 40 MM, CARACTERÍSTICAS ADICIONAIS RANHURAS USINADAS 6 POSIÇÕES E ISOLAMENTO NO CABO</t>
  </si>
  <si>
    <t>ALICATE ELETRICISTA DESCASCADORA DE FIOS AUTO-AJUSTAVEL 8"</t>
  </si>
  <si>
    <t>ALICATE DE PRESSÃO, MATERIAL FERRO, TRATAMENTO SUPERFICIAL AÇO VANÁDIO, MORDENTE INFERIOR CURVO, AJUSTE UMA POSIÇÃO, ABERTURA DA BOCA 6.</t>
  </si>
  <si>
    <t>ALICATE DE PRESSÃO, MATERIAL FERRO, TRATAMENTO SUPERFICIAL AÇO VANÁDIO, MORDENTE INFERIOR CURVO, AJUSTE UMA POSIÇÃO, CARACTERÍSTICAS ADICIONAIS ISOLAMENTO NO CABO, TAMANHO 10</t>
  </si>
  <si>
    <t>ALICATE UNIVERSAL DE 8” .</t>
  </si>
  <si>
    <t>ARCO SERRA, LÂMINA SERRA STANDARD 12 POLEGADAS, MATERIAL CABO ALUMÍNIO, TRATAMENTO SUPERFICIAL PINTURA ELETROSTÁTICA, TAMANHO 12, CARACTERÍSTICAS ADICIONAIS PROFUNDIDADE DE CORTE DE 90 MM</t>
  </si>
  <si>
    <t>BOLSA PARA FERRAMENTAS EM LONA ( VERDE OU PRETA) COM FUNDO REFORÇADO, ALÇA PARA TRANSPORTE E ZÍPER PARA FECHAMENTO TAMANHO MÉDIO</t>
  </si>
  <si>
    <t>Broxa redonda - Material Base: Plástico, Material Cabo: Plástico, Material Cerdas: Nylon, Formato: Redondo, Aplicação: Pintura E Caiação, Bitola: 75 MM, Comprimento: 25 CM</t>
  </si>
  <si>
    <t>BROXA PINTURA, MATERIAL BASE MADEIRA, MATERIAL CABO MADEIRA, MATERIAL CERDAS SINTÉTICO E FIBRAS NATURAIS, FORMATO RETANGULAR, TAMANHO GRANDE, COR CABO MARROM, APLICAÇÃO CAIAÇÃO E PISOS, BITOLA 77MM, COMPRIMENTO 120 MM</t>
  </si>
  <si>
    <t>CARRINHO DE MAO CAPACIDADE MINIMA 50 LITROS, PNEU COM CAMARA 8 POLEGADAS</t>
  </si>
  <si>
    <t>CAVADEIRA ARTICULADA, CAVADEIRA ARTICULADA, MATERIAL AÇO CARBONO, PINTURA ELETROSTÁTICA A PÓ, CABO DE MADEIRA, DIMENSÕES DO CABO 120 CM</t>
  </si>
  <si>
    <t>Chave Ajustável tipo Inglesa 10";</t>
  </si>
  <si>
    <t>Chave Ajustável tipo Inglesa 15";</t>
  </si>
  <si>
    <t>Chave Ajustável tipo Inglesa 8";</t>
  </si>
  <si>
    <t>CHAVE AJUSTÁVEL(INGLESA) 12 POLEGADAS</t>
  </si>
  <si>
    <t xml:space="preserve">CHAVE DE FENDA SIMPLES 3/8 X 8" </t>
  </si>
  <si>
    <t>CHAVE DE FENDA, MATERIAL AÇO CROMO VANÁDIO, CABO POLIPROPILENO SIMPLES, TAMANHO 8 X 5/16, CARACTERÍSTICAS ADICIONAIS HASTE NIQUELADA E CROMADA/PONTA FOSFATIZADA, TIPO PONTA FENDA CRUZADA</t>
  </si>
  <si>
    <t>483506 </t>
  </si>
  <si>
    <t>CHAVE DE TESTE ELÉTRICO, MATERIAL HASTE PLÁSTICO, COMPRIMENTO 150, TIPO PONTA METAL, MATERIAL CABO PLÁSTICO, COR CABO AZUL, CARACTERÍSTICAS ADICIONAIS CANETA, PORTÁTIL, DETECÇÃO TENSÃO, SINAL DE ALERTA</t>
  </si>
  <si>
    <t>CHAVE FENDA, MATERIAL HASTE AÇO TEMPERADO, MATERIAL CABO POLIPROPILENO, TIPO PONTA CRUZADA PHILLIPS, BITOLA 1/8 X 3, COMPRIMENTO HASTE MÁXIMO DE 130, CARACTERÍSTICAS ADICIONAIS PONTA FOSFATIZADA, ACABAMENTO  SUPERFICIAL HASTE NIQUELADA E CROMADA</t>
  </si>
  <si>
    <t>CHAVE FENDA, MATERIAL HASTE AÇO VANÁDIO 50CRV4 / 73MOV52, MATERIAL CABO POLIPROPILENO, TIPO PONTA CHATA, BITOLA 3/16´ X 5´, COMPRIMENTO HASTE 190, CARACTERÍSTICAS ADICIONAIS PONTA FOSFATIZADA, ACABAMENTO SUPERFICIAL HASTE NIQUELADO E  CROMADO</t>
  </si>
  <si>
    <t>CHAVE FENDA, MATERIAL HASTE AÇO VANÁDIO 50CRV4 / 73MOV52, MATERIAL CABO POLIPROPILENO, TIPO PONTA CRUZADA, BITOLA 5/16´ X 6´, COMPRIMENTO HASTE 260, CARACTERÍSTICAS ADICIONAIS PONTA FOSFATIZADA, ACABAMENTO SUPERFICIAL HASTE NIQUELADO E CROMADO</t>
  </si>
  <si>
    <t>CHAVE FENDA, MATERIAL HASTE CARBONO TEMPERADO, MATERIAL CABO POLIPROPILENO, TIPO PONTA CHATA, BITOLA 1/4´ X 5´</t>
  </si>
  <si>
    <t>CHAVE FENDA, MATERIAL HASTE CARBONO TEMPERADO, MATERIAL CABO POLIPROPILENO, TIPO PONTA CHATA, BITOLA 1/8´ X 4´</t>
  </si>
  <si>
    <t>CHAVE FENDA, MATERIAL HASTE CARBONO TEMPERADO, MATERIAL CABO POLIPROPILENO, TIPO PONTA PHILIPS, BITOLA 3/16´ X 5´</t>
  </si>
  <si>
    <t>Detector Ausencia Tensão</t>
  </si>
  <si>
    <t>Chaves de grifo n° 08;</t>
  </si>
  <si>
    <t>Chaves de grifo n° 10;</t>
  </si>
  <si>
    <t>Chaves de grifo n° 14;</t>
  </si>
  <si>
    <t>Chaves de grifo n° 18;</t>
  </si>
  <si>
    <t>Chaves de grifo n° 24;</t>
  </si>
  <si>
    <t>CINTO PORTA FERRAMENTAS EM LONA COM 12 BOLSOS, FABRICADO EM POLIÉSTER, ENGATES PLÁSTICOS, 2 SUPORTES EXTERNOS EM COURO PARA FERRAMENTAS DIVERSAS.</t>
  </si>
  <si>
    <t>COLHER PEDREIRO, MATERIAL AÇO CARBONO, TAMANHO 10, MATERIAL CABO MADEIRA, CARACTERÍSTICAS ADICIONAIS CANTO ARREDONDADO</t>
  </si>
  <si>
    <t>COLHER PEDREIRO, MATERIAL AÇO TEMPERADO E REVENIDO, TAMANHO 8, MATERIAL CABO MADEIRA NOBRE, CARACTERÍSTICAS ADICIONAIS HASTE E LÂMINA INTEIRIÇA, OVAL</t>
  </si>
  <si>
    <t>CONJUNTO CHAVES COMBINADAS, MATERIAL AÇO, TAMANHO 1/4" à  1.1/4", TIPO BOCA + ESTRELA (16 peças)</t>
  </si>
  <si>
    <t>229603 </t>
  </si>
  <si>
    <t>DESEMPENADEIRA DE AÇO MANUAL, MATERIAL AÇO, COMPRIMENTO 26, LARGURA 12, APLICAÇÃO ARGAMASSA, CARACTERÍSTICAS ADICIONAIS COM DENTES</t>
  </si>
  <si>
    <t>Desempenadeira de aço para massa corrida</t>
  </si>
  <si>
    <t>Desentupidor de esgotos, pias, ralos e banheiras</t>
  </si>
  <si>
    <t xml:space="preserve">Enxada largura aproximada de 24 cm - cabo de madeira - Comprimento 150 cm </t>
  </si>
  <si>
    <t>ESCADA EXTENSÍVEL, MATERIAL ALUMÍNIO, CAPACIDADE ATÉ 120, TIPO SAPATA LARGA E DE BORRACHA, TIPO DEGRAUS (2 X 7) ACOPLADOS LADO A LADO, QUANTIDADE DEGRAUS 07, ALTURA FECHADA 2,40m, ALTURA ABERTA 2,2x3,8m</t>
  </si>
  <si>
    <t>ESCOVA DE AÇO COM CABO</t>
  </si>
  <si>
    <t>ESPÁTULA, MATERIAL LÂMINA METAL, MATERIAL CABO PLASTICO TAMANHO 15 cm, APLICAÇÃO MASSA E RASPAGEM</t>
  </si>
  <si>
    <t>ESPÁTULA, MATERIAL LÂMINA METAL, MATERIAL CABO PLASTICO TAMANHO 6 cm, APLICAÇÃO MASSA E RASPAGEM</t>
  </si>
  <si>
    <t>ESPÁTULA, MATERIAL LÂMINA METAL, MATERIAL CABO MADEIRA, TAMANHO 8 cm, APLICAÇÃO MASSA E RASPAGEM</t>
  </si>
  <si>
    <t>ESPÁTULA PLASTICA DENTADA DE 15 CM</t>
  </si>
  <si>
    <t>ESQUADRO METAL 300MM: ESQUADRO DE METAL, RÉGUA DE METAL E CABO DE METAL. ESCALA EM MILIMETRO E POLEGADA.</t>
  </si>
  <si>
    <t>ESTILETE, TIPO ESTREITO, ESPESSURA 9, MATERIAL CORPO EMBORRACHADO, CARACTERÍSTICAS ADICIONAIS BLOQUADOR DE LÂMINA COM PARAFUSO</t>
  </si>
  <si>
    <t>ESTILETE, TIPO LARGO, ESPESSURA 18, MATERIAL CORPO EMBORRACHADO, CARACTERÍSTICAS ADICIONAIS TRAVA BLOQUEIO DE CORTE/ABRIDOR DE LATAS E ROSQUE</t>
  </si>
  <si>
    <t>Extensão de cabo PP 2x0,75mm2 com mínimo de 5m;</t>
  </si>
  <si>
    <t>Extensão de cabo PP 3x2,5mm2 com mínimo de 20m;</t>
  </si>
  <si>
    <t>FORMÃO. MATERIAL CORPO CROMO VANÁDIO, MATERIAL CABO MADEIRA, BITOLA ¼</t>
  </si>
  <si>
    <t>FORMÃO. MATERIAL CORPO CROMO VANÁDIO, MATERIAL CABO MADEIRA, BITOLA 1</t>
  </si>
  <si>
    <t>FORMÃO. MATERIAL CORPO CROMO VANÁDIO, MATERIAL CABO MADEIRA, BITOLA 1/2</t>
  </si>
  <si>
    <t>FORMÃO. MATERIAL CORPO CROMO VANÁDIO, MATERIAL CABO MADEIRA, BITOLA 3/4</t>
  </si>
  <si>
    <t>JOGO CHAVE, MATERIAL AÇO CROMO VANÁDIO, TIPO HEXAGONAL, QUANTIDADE PEÇAS 9, APLICAÇÃO MANUTENÇÃO EQUIPAMENTO MECÂNICO, COMPONENTES CHAVES MEDIDAS 1,5 a 8 MM, CARACTERÍSTICAS ADICIONAIS  MODELO ´L´, TAMANHO  CURTO,  ACABAMENTO SUPERFICIAL FOSFATIZADO</t>
  </si>
  <si>
    <t>JOGO CHAVES FENDA ISOLADA, MATERIAL HASTE METAL, MATERIAL CABO PLÁSTICO RESISTENTE, TIPO CABO ISOLADO, QUANTIDADE PEÇAS 6 UN.</t>
  </si>
  <si>
    <t>Chave fenda cruzada (Philips) 3/16" x 1.1/2" (Cotoco)</t>
  </si>
  <si>
    <t>JOGO DE CHAVE DE BOCA FIXA. FORJADA EM AÇO CROMO VANÁDIO E TEMPERADA. CABEÇA USINADA. ABERTURA DA BOCA CALIBRADA.  TAMANHOS 6mm a 32mm - 12 peças NORMA DE REFERENCIA DIN 3110</t>
  </si>
  <si>
    <t>JOGO DE CHAVE DE COMBINADA DE 6MM A  22MM</t>
  </si>
  <si>
    <t>JOGO DE CHAVE FENDA ISOLADA: JOGO DE CHAVE DE FENDA ISOLADA, MATERIAL AÇO CROMO-VANÁDIO, PONTA  TIPO CHATA E CRUZADA (PHILLIPS), LARGURA DA PONTA É IGUAL AO DIÂMETRO DA HASTE, POSSIBILITANDO O USO EM BORNES DE COMPONENTES ELÉTRICO E ELETRÔNICO. CHAVE ISOLADA ATÉ 1000 V, CONFORME A NORMA ABNT NBR 9699 (ATENDENDO À NR10). TAMANHOS APROXIMADOS (1/4X6") ; (3/16X4") ; (1/8X6") ; (1/4X6") ; (3/16X4") ; (1/8X3")</t>
  </si>
  <si>
    <t>Jogo de Soquetes Sextavados 1/2 Profissional (Aço cromo vanádio temperado-Encaixe de 1/2" 20 Soquetes Sextavados (mm): 10 à 32mm) - 24 peças</t>
  </si>
  <si>
    <t>LÂMINA PARA ESTILETE RETRÁTIL SIMPLES 18MM COM 10 PEÇAS</t>
  </si>
  <si>
    <t>pacote (10 unid)</t>
  </si>
  <si>
    <t>LANTERNA DE 15-20 CM C/ LENTE ACIONADA POR PILHA AA OU AAA</t>
  </si>
  <si>
    <t>LIMA CHATA, TIPO BASTARDA, COMPRIMENTO 10, USO DESBASTE RÁPIDO, MATERIAIS FERROSOS/NÃO FERROSOS, APLICAÇÃO LIMAGEM FERRAMENTAS MECÂNICAS E FERRAMENTARIA, CARACTERÍSTICAS ADICIONAIS AMBAS AS FACES COM PICADO DUPLO E CANTOS COM PICA</t>
  </si>
  <si>
    <t>483241 </t>
  </si>
  <si>
    <t>LIMA MANUAL, FORMATO TRIANGULAR, COMPRIMENTO 6, CARACTERÍSTICAS ADICIONAIS PARA SERROTE</t>
  </si>
  <si>
    <t>LIMA MANUAL, TIPO BASTARDA, FORMATO QUADRADA, COMPRIMENTO 8, CARACTERÍSTICAS ADICIONAIS PICADO DUPLO E CABO, ESPESSURA 3/16</t>
  </si>
  <si>
    <t>LIMA MANUAL, TIPO GROSA, FORMATO MEIA CANA, COMPRIMENTO 250</t>
  </si>
  <si>
    <t>LIMA MANUAL, TIPO MURÇA, FORMATO REDONDA, COMPRIMENTO 8, DIÂMETRO 3/16</t>
  </si>
  <si>
    <t>LIMA MANUAL, TIPO MURÇA, FORMATO REDONDA, COMPRIMENTO 8, DIÂMETRO 7/32</t>
  </si>
  <si>
    <t>LINHA DE PEDREIRO (Rolo com 100m)</t>
  </si>
  <si>
    <t>MAÇARICO ALTA TEMPERATURA TURBO TOCHA COM ACENDIMENTO AUTOMÁTICO, GÁS MAPP</t>
  </si>
  <si>
    <t>MARRETA, MATERIAL AÇO CARBONO FORJADO E TEMPERADO, MATERIAL CABO MADEIRA, PESO 2, TIPO OITAVADO, ACABAMENTO SUPERFICIAL PINTURA ELETROSTÁTICA</t>
  </si>
  <si>
    <t>MARTELO, MATERIAL BORRACHA, MATERIAL CABO MADEIRA, PESO 450</t>
  </si>
  <si>
    <t>MARTELO, MATERIAL FERRO, MATERIAL CABO MADEIRA, TIPO UNHA, TAMANHO 25</t>
  </si>
  <si>
    <t>NÍVEL BOLHA, MATERIAL CORPO ALUMÍNIO, TIPO BOLHA RETIFICADA, COMPRIMENTO 600, QUANTIDADE POSIÇÃO BOLHA 2 DE PRUMO/1 DE NÍVEL</t>
  </si>
  <si>
    <t>NÍVEL BOLHA, MATERIAL CORPO MADEIRA, COMPRIMENTO 300, CARACTERÍSTICAS ADICIONAIS AMPOLAS 360 GRAUS, LEITURA ACURADA.</t>
  </si>
  <si>
    <t>PÁ DE BICO COM CABO 71 cm COM ALÇA</t>
  </si>
  <si>
    <t>Pé de Cabra -  Material: Aço , Acabamento: Anticorrosão , Tamanho: 66 X 29 X 15 M</t>
  </si>
  <si>
    <t>Picareta cabo de madeira 90 cm</t>
  </si>
  <si>
    <t>603268 </t>
  </si>
  <si>
    <t>PLACA DE SINALIZAÇÃO DOBRÁVEL (COM AS INSCRIÇÕES: “EM MANUTENÇÃO”, EM PVC RÍGIDO, INSCRIÇÃO EM AMBOS OS LADOS, COR AMARELA</t>
  </si>
  <si>
    <t>PLAINA MANUAL, MATERIAL CORPO METÁLICO, TAMANHO 9 3/4, MATERIAL CABO MADEIRA, MATERIAL LÂMINA AÇO CROMO VANÁDIO, LARGURA LÂMINA 2 POL</t>
  </si>
  <si>
    <t>234509 </t>
  </si>
  <si>
    <t>PONTEIRO, MATERIAL AÇO, COMPRIMENTO 14", DIÂMETRO 3/4, APLICAÇÃO SERVIÇOS GERAIS</t>
  </si>
  <si>
    <t>262262 </t>
  </si>
  <si>
    <t>PRUMO DE CENTRO 500G METÁLICO. COMPLETO COM CORDA E TACO.</t>
  </si>
  <si>
    <t>RASPADOR DE PINTURA 4CM - LÂMINA AFIADA EM AMBAS EXTREMIDADES PARA GIRO APÓS DESGASTE CORPO EM PLÁSTICO , LÂMINA DE AÇO SAE 1070</t>
  </si>
  <si>
    <t>RÉGUA PEDREIRO, MATERIAL ALUMÍNIO, COMPRIMENTO  2m</t>
  </si>
  <si>
    <t>SERRA COPO DIAMANTADA COM HASTE, DIÂMENTRO DE 75MM</t>
  </si>
  <si>
    <t>SERRA COPO DIAMANTADA COM HASTE, DIÂMENTRO DE 50MM</t>
  </si>
  <si>
    <t>SERRA COPO DIAMANTADA COM HASTE, DIÂMENTRO DE 40MM</t>
  </si>
  <si>
    <t>SERRA COPO DIAMANTADA COM HASTE, DIÂMENTRO DE 30MM</t>
  </si>
  <si>
    <t>SERRA COPO DIAMANTADA COM HASTE, DIÂMENTRO DE 20MM</t>
  </si>
  <si>
    <t>SERRA COPO PARA CORTE AÇO E METAL 90 MM</t>
  </si>
  <si>
    <t>SERRA COPO PARA CORTE AÇO E METAL 75 MM</t>
  </si>
  <si>
    <t>SERRA COPO PARA CORTE AÇO E METAL 50 MM</t>
  </si>
  <si>
    <t>SERRA COPO PARA CORTE AÇO E METAL 40 MM</t>
  </si>
  <si>
    <t>SERRA COPO PARA CORTE AÇO E METAL 22 MM</t>
  </si>
  <si>
    <t>SERRA COPO PARA CORTE AÇO E METAL 19 MM</t>
  </si>
  <si>
    <t>SERRA COPO PARA CORTE AÇO E METAL 14 MM</t>
  </si>
  <si>
    <t>SUPORTE DE FIXAÇÃO PARA SERRA COPO DE 14-30MM MANDRIL 9,5MM</t>
  </si>
  <si>
    <t>SERROTE PROFISSIONAL, MATERIAL LÂMINA AÇO ALTO CARBONO, TRATAMENTO SUPERFICIAL TEMPERADO E LIXADO, TIPO TRAVADO, QUANTIDADE DENTES 7 POR POLEGADA, MATERIAL CABO MADEIRA, TAMANHO 24</t>
  </si>
  <si>
    <t>TALHADEIRA, MATERIAL AÇO, TIPO CHATO, COMPRIMENTO TOTAL 10, PESO 0,90, APLICAÇÃO PEDREIRO, ACABAMENTO SUPERFICIAL PINTADO, CARACTERÍSTICAS ADICIONAIS COM APUNHADURA</t>
  </si>
  <si>
    <t>TORQUÊS, MATERIAL CORPO AÇO FORJADO E TEMPERADO, TIPO ARMADOR, TIPO ACABAMENTO OXIDADO, TAMANHO 12, PESO 600, CARACTERÍSTICAS ADICIONAIS MANDÍBULAS LIXADAS</t>
  </si>
  <si>
    <t>TRENA A LASER 40 METROS</t>
  </si>
  <si>
    <t>TRENA, MATERIAL AÇO, LARGURA LÂMINA 19, COMPRIMENTO 5, CARACTERÍSTICAS ADICIONAIS ENROLAMENTO AUTOMÁTICO COM TRAVA</t>
  </si>
  <si>
    <t>Talabarte De Salvamento E Seguranca em "y" com 2 (dois) mosquetões e absorvedor de energia.</t>
  </si>
  <si>
    <t xml:space="preserve">ALICATE DE CORTE DIAGONAL 6 " COM ISOLAMENTO             </t>
  </si>
  <si>
    <t>Rastelo</t>
  </si>
  <si>
    <t>Alcool</t>
  </si>
  <si>
    <t>Durepoxi</t>
  </si>
  <si>
    <t>Esponja de Aço</t>
  </si>
  <si>
    <t>Estopa</t>
  </si>
  <si>
    <t>Sacos de Pano</t>
  </si>
  <si>
    <r>
      <t xml:space="preserve">VALOR </t>
    </r>
    <r>
      <rPr>
        <b/>
        <u val="double"/>
        <sz val="9"/>
        <rFont val="Calibri"/>
        <family val="2"/>
        <scheme val="minor"/>
      </rPr>
      <t>MENSAL</t>
    </r>
    <r>
      <rPr>
        <b/>
        <sz val="9"/>
        <rFont val="Calibri"/>
        <family val="2"/>
        <scheme val="minor"/>
      </rPr>
      <t xml:space="preserve"> A SER PAGO PELAS </t>
    </r>
    <r>
      <rPr>
        <b/>
        <sz val="9"/>
        <rFont val="Calibri"/>
        <family val="2"/>
      </rPr>
      <t xml:space="preserve">FERRAMENTAS A SEREM UTILIZADAS NA EXECUÇÃO CONTRATUAL </t>
    </r>
  </si>
  <si>
    <t>QUANTIDADE DE POSTOS</t>
  </si>
  <si>
    <r>
      <t xml:space="preserve">VALOR </t>
    </r>
    <r>
      <rPr>
        <u/>
        <sz val="9"/>
        <rFont val="Calibri"/>
        <family val="2"/>
      </rPr>
      <t>MENSAL</t>
    </r>
    <r>
      <rPr>
        <sz val="9"/>
        <rFont val="Calibri"/>
        <family val="2"/>
      </rPr>
      <t xml:space="preserve"> DAS FERRAMENTAS POR POSTO DE TRABALHO</t>
    </r>
  </si>
  <si>
    <t>EQUIPAMENTOS</t>
  </si>
  <si>
    <t>unidade</t>
  </si>
  <si>
    <t>Vida útil (meses)</t>
  </si>
  <si>
    <t>Total Mensal</t>
  </si>
  <si>
    <t>Alicate amperímetro, material plástico, tipo digital, corrente 0.1 a 1.000, voltagem 1 va 750 ac/dc 1 a 1000, alimentação bateria, voltagem bateria 9, resistência 2, aplicação eletricidade</t>
  </si>
  <si>
    <t>Furadeira de impacto SDS  800w, 220v</t>
  </si>
  <si>
    <t>Furadeira, tipo impacto, potência 1300 W, tamanho mandril 5/8, tensão alimentação 220, características adicionais minimo de 2 velocidades</t>
  </si>
  <si>
    <t>Lixadeira: potência 1.600 watts, rotação por min. 4.000 rpm, diâmetro do furo m14, diâmetro do disco 180mm (7´), capacidades: disco de borracha 7´ (180mm) - disco de lixa 7´ (180mm), eixo m14, massa (peso) 3.4 kg,acompanha: disco de borracha, punho, chave de pino, de primeira linha.</t>
  </si>
  <si>
    <t>Multímetro, tensão 1.000, tensão ac 750, corrente dc 20, corrente ac 20, resistência 20, características adicionais display digital/capacitância 4n/teste de diodo/</t>
  </si>
  <si>
    <t>Pistola aplicadora de cola quente, tensão alimentação 110/220, potência 250, tipo profissional, compatível com bastão silicone</t>
  </si>
  <si>
    <t>Plaina elétrica potência 3 hp, largura corte 350, profundidade corte +/- 1 mm, rotação 3600, voltagem 110/220, acessórios conjunto afiador e calibrador, aplicação plainar madeira.</t>
  </si>
  <si>
    <t>Serra mármore, potência 1.450, diâmetro disco 125, diâmetro furo disco 20, voltagem 127, características adicionais alto torque, rolamento vedado contra pó</t>
  </si>
  <si>
    <t>Serra tico-tico manual, 3.100 RPM, tensão 220/230,  potência 650W, capacidade corte madeira 90, capacidade corte alumínio 20, capacidade corte aço 10</t>
  </si>
  <si>
    <t>Parafusadeira, RPM 600-2.600, Bateria 40V, 2,5Ah com bateria e carregador.</t>
  </si>
  <si>
    <t>Ferro de solda 60W - 220v</t>
  </si>
  <si>
    <t>Bancada de trabalho dobrável e portátil  88x80cm com morsa adaptada</t>
  </si>
  <si>
    <t>Câmera Termográfica Profissional Digital para Serviços de Termografia em Quadros Elétricos;</t>
  </si>
  <si>
    <t>Máquina de Solda - Tensão de Entrada: 220V, Frequencia: 60Hz.</t>
  </si>
  <si>
    <t>Compressor 100 litros, 10 Pés, 2 HP, 2 pistões em V, Pressão de operação máxima: 140lbf/pol²</t>
  </si>
  <si>
    <t>Pistola de Pintura tipo Gravidade 2,5mm 850ml</t>
  </si>
  <si>
    <t>Mangueira pneumatica com 10m para compressor</t>
  </si>
  <si>
    <t>Máquina Lavadora para Limpeza de Ar-Condicionado</t>
  </si>
  <si>
    <t>Bolsa coletora (12.000 btus) - limpeza de ar condicionado</t>
  </si>
  <si>
    <t>Bolsa Coletora ( 18.000 a 30.000 btus) - limpeza de ar condicionado</t>
  </si>
  <si>
    <t>Garrafa Injetora</t>
  </si>
  <si>
    <t>607559 </t>
  </si>
  <si>
    <t>Lavadora Alta Pressão Pressão</t>
  </si>
  <si>
    <t>Roçadeira Manual Tipo Motor: Combustão , Potência Motor: 1,8 HP, Tipo Cortador: Fio Náilon , Características Adicionais: Com Lamina De 3 Pontas</t>
  </si>
  <si>
    <t xml:space="preserve">VALOR MENSAL DOS EQUIPAMENTOS A SEREM UTILIZADOS NA EXECUÇÃO CONTRATUAL </t>
  </si>
  <si>
    <t>VALOR DOS EQUIPAMENTOS POR FUNCIONÁRIO</t>
  </si>
  <si>
    <t xml:space="preserve">NÃO SERÁ OBJETO DE LANCE
DISPUTA SE DARÁ PELA DEFINIÇÃO DO BDI APLICÁVEL - BDI 2
</t>
  </si>
  <si>
    <t>Planilha Orçamentária Analítica</t>
  </si>
  <si>
    <t>MARCENARIA</t>
  </si>
  <si>
    <t>Código</t>
  </si>
  <si>
    <t>Banco</t>
  </si>
  <si>
    <t>Descrição</t>
  </si>
  <si>
    <t>Tipo</t>
  </si>
  <si>
    <t>Und</t>
  </si>
  <si>
    <t>Quant.</t>
  </si>
  <si>
    <t>Total</t>
  </si>
  <si>
    <t>Insumo</t>
  </si>
  <si>
    <t xml:space="preserve"> SINAPI</t>
  </si>
  <si>
    <t>FECHADURA AUXILIAR TRAVA DE SEGURANCA SIMPLES, CROMADA, MAQUINA *40* MM, INCLUI CHAVE TETRA E ROSETA REDONDA - COMPLETA</t>
  </si>
  <si>
    <t>Material</t>
  </si>
  <si>
    <t>CJ</t>
  </si>
  <si>
    <t xml:space="preserve"> SIURB</t>
  </si>
  <si>
    <t>VIDRO LISO COMUM; TRANSPARENTE INCOLOR - 3MM</t>
  </si>
  <si>
    <t>m²</t>
  </si>
  <si>
    <t xml:space="preserve"> Próprio</t>
  </si>
  <si>
    <t>PERFIL GUIA (U) SUPERIOR NAVAL 3 METROS</t>
  </si>
  <si>
    <t>PÇ</t>
  </si>
  <si>
    <t>PERFIL DIVISÓRIA NAVAL TRAVESSA H-NTR 3000 MM</t>
  </si>
  <si>
    <t>PERFIL DIVISÓRIA NAVAL MONTANTE N1 LARGO 3000 MM</t>
  </si>
  <si>
    <t>PERFIL BATENTE SUPERIOR PORTA 2,15 M</t>
  </si>
  <si>
    <t>PERFIL BATENTE LATERAL PORTA 0,84 CM</t>
  </si>
  <si>
    <t>PERFIL REQUADRO COM FURO 2110 MM NAVAL</t>
  </si>
  <si>
    <t>PERFIL REQUADRO SEM FURO 2110 MM NAVAL</t>
  </si>
  <si>
    <t>PERFIL DIVISÓRIA NAVAL LEITO DO BAGUETE NBV-1 1185 MM</t>
  </si>
  <si>
    <t>PERFIL LEITO DO BAGUETE 1030 MM NAVAL</t>
  </si>
  <si>
    <t>PERFIL BAGUETE 1030 MM NAVAL</t>
  </si>
  <si>
    <t>PERFIL BAGUETE 1180 MM NAVAL</t>
  </si>
  <si>
    <t>14.30.230</t>
  </si>
  <si>
    <t>CPOS/CDHU</t>
  </si>
  <si>
    <t>Divisória painel/vidro/vidro, tipo naval, Divilux 35 MSO, Eucaplac UV instalado</t>
  </si>
  <si>
    <t>2.35.35</t>
  </si>
  <si>
    <t>FDE</t>
  </si>
  <si>
    <t>PORTA P/ DIVISORIA 80X210 CM, INC DOBR/FECH INTERNA</t>
  </si>
  <si>
    <t>UN</t>
  </si>
  <si>
    <t>FECHADURA TUBULAR CROMADA, MACANETA DIAMETRO *30* MM, CILINDRO CENTRAL COM CHAVE EXTERNA E BOTAO INTERNO, MAQUINA *70* MM - COMPLETA</t>
  </si>
  <si>
    <t>Rebite POP R 312 3,2 x 12 mm</t>
  </si>
  <si>
    <t>un</t>
  </si>
  <si>
    <t>PARAFUSO DRY WALL, EM ACO FOSFATIZADO, CABECA TROMBETA E PONTA AGULHA (TA), COMPRIMENTO 25 MM</t>
  </si>
  <si>
    <t>PARAFUSO DRY WALL, EM ACO FOSFATIZADO, CABECA TROMBETA E PONTA AGULHA (TA), COMPRIMENTO 45 MM</t>
  </si>
  <si>
    <t>BUCHA DE NYLON SEM ABA S6</t>
  </si>
  <si>
    <t>SINAPI</t>
  </si>
  <si>
    <t>DOBRADICA EM ACO/FERRO, 3” X 2 1/2”, E= 1,2 A 1,8 MM, SEM ANEL, CROMADO OU ZINCADO, TAMPA CHATA, COM PARAFUSOS</t>
  </si>
  <si>
    <t>ELETRICA</t>
  </si>
  <si>
    <t>TOMADA 2P+T 10A, 250V, CONJUNTO MONTADO PARA EMBUTIR 4" X 2" (PLACA + SUPORTE + MODULO)</t>
  </si>
  <si>
    <t>Composição</t>
  </si>
  <si>
    <t>LAMPADA LED TUBULAR BIVOLT 18/20 W, BASE G13</t>
  </si>
  <si>
    <t>SIURB</t>
  </si>
  <si>
    <t>REATOR ELETRÔNICO AFP - COM PARTIDA INSTANTÂNEA BIVOLT - P/ LÂMPADA FLUORESCENTE TUBULAR 2X20W</t>
  </si>
  <si>
    <t>SENSOR DE PRESENCA BIVOLT DE PAREDE COM FOTOCELULA PARA QUALQUER TIPO DE LAMPADA POTENCIA MAXIMA *1000* W, USO INTERNO</t>
  </si>
  <si>
    <t>SENSOR DE PRESENCA BIVOLT DE PAREDE SEM FOTOCELULA PARA QUALQUER TIPO DE LAMPADA POTENCIA MAXIMA *1000* W, USO INTERNO</t>
  </si>
  <si>
    <t>CHUVEIRO MAX DUCHA LORENZETI OU EQUIVALENTE</t>
  </si>
  <si>
    <t>TOMADA 2P+T 20A/250V REF.54328 S/ PLACA SILENTOQUE OU EQUIVALENTE</t>
  </si>
  <si>
    <t>LAMPADA LED 10 W BIVOLT BRANCA, FORMATO TRADICIONAL (BASE E27)</t>
  </si>
  <si>
    <t>INTERRUPTORES PARALELOS (2 MODULOS) 10A, 250V, CONJUNTO MONTADO PARA EMBUTIR 4” X 2” (PLACA + SUPORTE + MODULOS)</t>
  </si>
  <si>
    <t>SUPORTE P/ CX 4X4" ATE 6MOD. R.6121 24 PIAL/EQUIVALENTE.</t>
  </si>
  <si>
    <t>P.13.000.067507</t>
  </si>
  <si>
    <t>PLUGUE 2P+T DE 10A 250V, REF. 615801 / 615811 / 615821 DA PIAL OU EQUIVALENTE</t>
  </si>
  <si>
    <t>DISJUNTOR TERMOMAGNETICO PARA TRILHO DIN (IEC), BIPOLAR, 6 - 32 A</t>
  </si>
  <si>
    <t>DISJUNTOR MONOPOLAR 5KA 20A 220V PRETO PADRAO NEMA</t>
  </si>
  <si>
    <t>CABO DE COBRE, FLEXIVEL, CLASSE 4 OU 5, ISOLACAO EM PVC/A, ANTICHAMA BWF-B, 1 CONDUTOR, 450/750 V, SECAO NOMINAL 16 MM2</t>
  </si>
  <si>
    <t>M</t>
  </si>
  <si>
    <t>CHAVE STARTER  6 CV 220 V</t>
  </si>
  <si>
    <t>CABO DE REDE, PAR TRANCADO U/UTP, 4 PARES, CATEGORIA 6 (CAT 6), ISOLAMENTO PVC (CM)</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</si>
  <si>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</si>
  <si>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2,5 MM2</t>
  </si>
  <si>
    <t>CANALETA DE PISO 50X20 MM SISTEMA PIAL OU SIMILAR</t>
  </si>
  <si>
    <t>CANALETA 10X10 MM 2 MTS COM FITA ADESIVA</t>
  </si>
  <si>
    <t xml:space="preserve"> M3233</t>
  </si>
  <si>
    <t xml:space="preserve"> SICRO3</t>
  </si>
  <si>
    <t>Fita adesiva estrutural dupla-face de 25 x 2 mm</t>
  </si>
  <si>
    <t>CABO DE COBRE, FLEXIVEL, CLASSE 4 OU 5, ISOLACAO EM PVC/A, ANTICHAMA BWF-B, 1 CONDUTOR, 450/750 V, SECAO NOMINAL 2,5 MM2</t>
  </si>
  <si>
    <t>CABO DE COBRE, FLEXIVEL, CLASSE 4 OU 5, ISOLACAO EM PVC/A, ANTICHAMA BWF-B, 1 CONDUTOR, 450/750 V, SECAO NOMINAL 4 MM2</t>
  </si>
  <si>
    <t>CABO DE COBRE, FLEXIVEL, CLASSE 4 OU 5, ISOLACAO EM PVC/A, ANTICHAMA BWF-B, 1 CONDUTOR, 450/750 V, SECAO NOMINAL 6 MM2</t>
  </si>
  <si>
    <t xml:space="preserve"> 4.30.76</t>
  </si>
  <si>
    <t xml:space="preserve"> FDE</t>
  </si>
  <si>
    <t>CABO DE CONTROLE 5X1.5MM2 ATE 1KV DE ISOLAÇÃO</t>
  </si>
  <si>
    <t xml:space="preserve"> 4.30.75</t>
  </si>
  <si>
    <t>CABO DE CONTROLE 3X1.5MM2 ATE 1KV DE ISOLAÇÃO</t>
  </si>
  <si>
    <t>FITA ISOLANTE ADESIVA ANTICHAMA, USO ATE 750 V, EM ROLO DE 19 MM X 20 M</t>
  </si>
  <si>
    <t>FITA ISOLANTE DE BORRACHA AUTOFUSAO, USO ATE 69 KV (ALTA TENSAO)</t>
  </si>
  <si>
    <t>ABRACADEIRA DE NYLON PARA AMARRACAO DE CABOS, COMPRIMENTO DE 150 X *3,6* MM</t>
  </si>
  <si>
    <t xml:space="preserve"> 4.96.23</t>
  </si>
  <si>
    <t>BARRAMENTO COBRE 100 A - 3/8"X1/8"</t>
  </si>
  <si>
    <t>TOMADA 2P+T 20A, 250V  (APENAS MODULO)</t>
  </si>
  <si>
    <t>TOMADA 2P+T 10A, 250V  (APENAS MODULO)</t>
  </si>
  <si>
    <t>INTERRUPTOR BIPOLAR SIMPLES 10 A, 250 V (APENAS MODULO)</t>
  </si>
  <si>
    <t>PULSADOR CAMPAINHA 10A, 250V (APENAS MODULO)</t>
  </si>
  <si>
    <t>UM</t>
  </si>
  <si>
    <t>CONTATOR TRIPOLAR, CORRENTE DE 32 A, TENSAO NOMINAL DE *500* V, CATEGORIA AC-2 E AC-3</t>
  </si>
  <si>
    <t>CONTATOR TRIPOLAR, CORRENTE DE *22* A, TENSAO NOMINAL DE *500* V, CATEGORIA AC-2 E AC-3</t>
  </si>
  <si>
    <t>CIVIL</t>
  </si>
  <si>
    <t>ARGAMASSA COLANTE AC I PARA CERAMICAS</t>
  </si>
  <si>
    <t>KG</t>
  </si>
  <si>
    <t>ARGAMASSA COLANTE AC-II</t>
  </si>
  <si>
    <t>ARGAMASSA COLANTE TIPO ACIII</t>
  </si>
  <si>
    <t>ARGAMASSA COLANTE TIPO ACIII E</t>
  </si>
  <si>
    <t>ARGAMASSA PRONTA PARA CONTRAPISO</t>
  </si>
  <si>
    <t>TELHA DE FIBROCIMENTO ONDULADA E = 6 MM, DE 2,44 X 1,10 M (SEM AMIANTO)</t>
  </si>
  <si>
    <t>M2</t>
  </si>
  <si>
    <t>TELHA DE FIBROCIMENTO ONDULADA E = 6 MM, DE 3,66 X 1,10 M (SEM AMIANTO)</t>
  </si>
  <si>
    <t xml:space="preserve">UN    </t>
  </si>
  <si>
    <t>FORRO DE FIBRA MINERAL EM PLACAS DE 1250 X 625 MM, E = 15 MM, BORDA RETA, COM PINTURA ANTIMOFO, APOIADO EM PERFIL DE ACO GALVANIZADO COM 24 MM DE BASE</t>
  </si>
  <si>
    <t>MASSA CORRIDA PVA PARA PAREDES INTERNAS</t>
  </si>
  <si>
    <t>REJUNTE COLORIDO, CIMENTICIO</t>
  </si>
  <si>
    <t>MOLA DE PISO PORTA DE VIDRO</t>
  </si>
  <si>
    <t>MOLA AEREA FECHA PORTA, PARA PORTAS COM LARGURA ATE 95 CM</t>
  </si>
  <si>
    <t>TOMADA 2P+T 20A 250V, CONJUNTO MONTADO PARA EMBUTIR 4" X 2" (PLACA + SUPORTE + MODULO)</t>
  </si>
  <si>
    <t>FITA ISOLANTE ADESIVA ANTICHAMA, USO ATE 750 V, EM ROLO DE 19 MM X 5 M</t>
  </si>
  <si>
    <t>TOMADAS (2 MODULOS) 2P+T 10A, 250V, CONJUNTO MONTADO PARA EMBUTIR 4" X 2" (PLACA + SUPORTE + MODULOS)</t>
  </si>
  <si>
    <t>ADESIVO ACRILICO/COLA DE CONTATO</t>
  </si>
  <si>
    <t>TINTA LATEX ACRILICA PREMIUM, COR BRANCO FOSCO</t>
  </si>
  <si>
    <t>L</t>
  </si>
  <si>
    <t xml:space="preserve"> I8620</t>
  </si>
  <si>
    <t xml:space="preserve"> SEINFRA</t>
  </si>
  <si>
    <t>FITA ANTIDERRAPANTE LARG. 5cm FOSFORESCENTE 5m</t>
  </si>
  <si>
    <t>RL</t>
  </si>
  <si>
    <t>ROLO DE ESPUMA POLIESTER 23 CM (SEM CABO)</t>
  </si>
  <si>
    <t>TRINCHA 2.1/2" (PARA LÁTEX)</t>
  </si>
  <si>
    <t>Un</t>
  </si>
  <si>
    <t>MASSA PLASTICA</t>
  </si>
  <si>
    <t>SILICONE ACETICO USO GERAL INCOLOR 280 G</t>
  </si>
  <si>
    <t>pç</t>
  </si>
  <si>
    <t>DILUENTE AGUARRAS</t>
  </si>
  <si>
    <t>SELANTE TIPO VEDA CALHA PARA METAL E FIBROCIMENTO</t>
  </si>
  <si>
    <t>J.02.000.038060</t>
  </si>
  <si>
    <t>THINNER</t>
  </si>
  <si>
    <t>3.12.99</t>
  </si>
  <si>
    <t>FNE</t>
  </si>
  <si>
    <t>OLEO LUBRIFICANTE SPRAY</t>
  </si>
  <si>
    <t>l</t>
  </si>
  <si>
    <t>CHAPA DE LAMINADO MELAMÍNICO 1.3MM - ACABAMENTO TEXTURIZADO COR MADEIRA.</t>
  </si>
  <si>
    <t>PARAFUSO DE LATAO COM ROSCA SOBERBA, CABECA CHATA E FENDA SIMPLES, DIAMETRO 2,5 MM, COMPRIMENTO 12 MM</t>
  </si>
  <si>
    <t>ABRACADEIRA EM ACO PARA AMARRACAO DE ELETRODUTOS, TIPO D, COM 1 1/2" E PARAFUSO DE FIXACAO</t>
  </si>
  <si>
    <t>ABRACADEIRA EM ACO PARA AMARRACAO DE ELETRODUTOS, TIPO D, COM 2 1/2" E PARAFUSO DE FIXACAO</t>
  </si>
  <si>
    <t>GRUPO GERADOR</t>
  </si>
  <si>
    <t>BATERIA GRUPO GERADOR 220AH - M220PD/E</t>
  </si>
  <si>
    <t>CARREGADOR ACUM BAS EM TEC DIGITAL PARA GRUPO GERADOR</t>
  </si>
  <si>
    <t>HIDRAULICA</t>
  </si>
  <si>
    <t>TORNEIRA DE METAL AMARELO, PARA TANQUE / JARDIM, DE PAREDE, SEM BICO, CANO CURTO, PADRAO POPULAR / USO GERAL, 1/2" OU 3/4" (REF 1120)</t>
  </si>
  <si>
    <t>TORNEIRA CROMADA DE PAREDE PARA COZINHA BICA MOVEL COM AREJADOR 1/2 " OU 3/4 " (REF 1168)</t>
  </si>
  <si>
    <t>CHUVEIRO ELÉTRICO (POTÊNCIA: 5400 W / TENSÃO: 220 V)</t>
  </si>
  <si>
    <t>REGISTRO GAVETA BRUTO EM LATAO FORJADO, BITOLA 3/4" (REF 1509)</t>
  </si>
  <si>
    <t xml:space="preserve"> 6.95.48</t>
  </si>
  <si>
    <t>KIT REPARO PARA CAIXA ACOPLADA</t>
  </si>
  <si>
    <t>ANEL DE VEDAÇÃO PARA VASO SANITÁRIO</t>
  </si>
  <si>
    <t>TORNEIRA METALICA CROMADA DE MESA, PARA LAVATORIO, TEMPORIZADA PRESSAO FECHAMENTO AUTOMATICO, BICA BAIXA</t>
  </si>
  <si>
    <t>SIFAO EM METAL CROMADO PARA PIA OU LAVATORIO, 1 X 1.1/2 "</t>
  </si>
  <si>
    <t>REG GAVETA C/ACAB.C-1509-DL D=1 1/2"FABRIM./EQUIVALENTE</t>
  </si>
  <si>
    <t>REGISTRO DE GAVETA - PADRÃO MÉDIO (DIÂMETRO DA SEÇÃO: 3/4 " / TIPO DE ACABAMENTO: BRUTO)</t>
  </si>
  <si>
    <t>ENGATE FLEXIVEL DN 1/2' X 30 cm</t>
  </si>
  <si>
    <t>PC</t>
  </si>
  <si>
    <t>ENGATE FLEXIVEL DN 1/2' X 40 cm</t>
  </si>
  <si>
    <t>ANEL BORRACHA PARA TUBO ESGOTO PREDIAL, DN 50 MM (NBR 5688)</t>
  </si>
  <si>
    <t>CONJUNTO DE FIXAÇÃO NIQUELADO PARA BACIA DE LOUÇA (BUCHA 8 E ARRUELA PLÁSTICA)</t>
  </si>
  <si>
    <t>VALVULA AMERICANA P/PIA 3 1/2'</t>
  </si>
  <si>
    <t>ENGATE / RABICHO FLEXIVEL INOX 1/2 " X 40 CM</t>
  </si>
  <si>
    <t>VALVULA DE ESCOAMENTO PARA TANQUE, EM METAL CROMADO, 1.1/2 ", SEM LADRAO, COM TAMPAO PLASTICO</t>
  </si>
  <si>
    <t>CHUVEIRO COMUM EM PLASTICO BRANCO, COM CANO, 3 TEMPERATURAS, 5500 W (110/220 V)</t>
  </si>
  <si>
    <t>REGISTRO GAVETA COM ACABAMENTO E CANOPLA CROMADOS, SIMPLES, BITOLA 3/4 " (REF 1509)</t>
  </si>
  <si>
    <t>REGISTRO DE PRESSAO PVC, ROSCAVEL, VOLANTE SIMPLES, DE 1/2"</t>
  </si>
  <si>
    <t>O.12.000.069547</t>
  </si>
  <si>
    <t>REPARO PARA VÁLVULA HIDRA</t>
  </si>
  <si>
    <t>BACIA SANITARIA (VASO) COM CAIXA ACOPLADA, DE LOUCA BRANCA</t>
  </si>
  <si>
    <t>PARAFUSO DE LATAO COM ACABAMENTO CROMADO PARA FIXAR PECA SANITARIA, INCLUI PORCA CEGA, ARRUELA E BUCHA DE NYLON TAMANHO S-10</t>
  </si>
  <si>
    <t>PARAFUSO DE LATAO COM ROSCA SOBERBA, CABECA CHATA E FENDA SIMPLES, DIAMETRO 4,8 MM, COMPRIMENTO 65 MM</t>
  </si>
  <si>
    <t>REGISTRO PRESSAO BRUTO EM LATAO FORJADO, BITOLA 1/2 " (REF 1400)</t>
  </si>
  <si>
    <t>TORNEIRA CROMADA DE MESA PARA COZINHA BICA MOVEL COM AREJADOR 1/2 " OU 3/4 " (REF 1167)</t>
  </si>
  <si>
    <t>VALVULA DE RETENCAO VERTICAL, DE BRONZE (PN-16), 1", 200 PSI, EXTREMIDADES COM ROSCA</t>
  </si>
  <si>
    <t>TE DE FERRO GALVANIZADO, DE 3/4"</t>
  </si>
  <si>
    <t>ADAPTADOR PVC SOLDAVEL CURTO COM BOLSA E ROSCA, 25 MM X 3/4", PARA AGUA FRIA</t>
  </si>
  <si>
    <t>LUVA CPVC, SOLDAVEL, 28 MM, PARA AGUA QUENTE PREDIAL</t>
  </si>
  <si>
    <t>COTOVELO 45 GRAUS DE FERRO GALVANIZADO, COM ROSCA BSP, DE 1/2"</t>
  </si>
  <si>
    <t>COTOVELO 45 GRAUS DE FERRO GALVANIZADO, COM ROSCA BSP, DE 3/4"</t>
  </si>
  <si>
    <t>LUVA CPVC, SOLDAVEL, 15 MM, PARA AGUA QUENTE PREDIAL</t>
  </si>
  <si>
    <t>LUVA DE REDUCAO SOLDAVEL, PVC, 25 MM X 20 MM, PARA AGUA FRIA PREDIAL</t>
  </si>
  <si>
    <t>ADAPTADOR PVC SOLDAVEL CURTO COM BOLSA E ROSCA, 20 MM X 1/2", PARA AGUA FRIA</t>
  </si>
  <si>
    <t xml:space="preserve"> 6.60.40</t>
  </si>
  <si>
    <t>TORNEIRA P/ BEBEDOURO DE PRESSAO TIPO JATO</t>
  </si>
  <si>
    <t>JOELHO CPVC, SOLDAVEL, 45 GRAUS, 15 MM, PARA AGUA QUENTE</t>
  </si>
  <si>
    <t>JOELHO CPVC, SOLDAVEL, 45 GRAUS, 28 MM, PARA AGUA QUENTE</t>
  </si>
  <si>
    <t>COTOVELO DE COBRE 90 GRAUS (REF 607) SEM ANEL DE SOLDA, BOLSA X BOLSA, 28 MM</t>
  </si>
  <si>
    <t>COTOVELO DE COBRE 90 GRAUS (REF 607) SEM ANEL DE SOLDA, BOLSA X BOLSA, 15 MM</t>
  </si>
  <si>
    <t>NIPLE DE FERRO GALVANIZADO, COM ROSCA BSP, DE 1/2"</t>
  </si>
  <si>
    <t>NIPLE DE FERRO GALVANIZADO, COM ROSCA BSP, DE 3/4"</t>
  </si>
  <si>
    <t>BUCHA DE REDUCAO DE COBRE (REF 600-2) SEM ANEL DE SOLDA, PONTA X BOLSA, 22 X 15 MM</t>
  </si>
  <si>
    <t>BUCHA DE REDUCAO DE COBRE (REF 600-2) SEM ANEL DE SOLDA, PONTA X BOLSA, 28 X 22 MM</t>
  </si>
  <si>
    <t>COTOVELO 90 GRAUS DE FERRO GALVANIZADO, COM ROSCA BSP MACHO/FEMEA, DE 3/4"</t>
  </si>
  <si>
    <t>FITA VEDA ROSCA EM ROLOS DE 18 MM X 50 M (L X C)</t>
  </si>
  <si>
    <t>RALO SIFONADO PVC CILINDRICO, 100 X 40 MM,  COM GRELHA REDONDA BRANCA</t>
  </si>
  <si>
    <t>ANEL BORRACHA PARA TUBO ESGOTO PREDIAL, DN 100 MM (NBR 5688)</t>
  </si>
  <si>
    <t>ANEL BORRACHA DN 75 MM, PARA TUBO SERIE REFORCADA ESGOTO PREDIAL</t>
  </si>
  <si>
    <t>6.26.70</t>
  </si>
  <si>
    <t>ANEL BORRACHA P/TUBO PVC 40MM</t>
  </si>
  <si>
    <t>COTOVELO 90 GRAUS DE FERRO GALVANIZADO, COM ROSCA BSP, DE 4"</t>
  </si>
  <si>
    <t>COTOVELO 45 GRAUS DE FERRO GALVANIZADO, COM ROSCA BSP, DE 4"</t>
  </si>
  <si>
    <t>CAP PVC, SERIE R, DN 150 MM, PARA ESGOTO PREDIAL</t>
  </si>
  <si>
    <t>ASSENTO  VASO SANITARIO INFANTIL EM PLASTICO BRANCO</t>
  </si>
  <si>
    <t>BUCHA DE REDUCAO DE COBRE (REF 600-2) SEM ANEL DE SOLDA, PONTA X BOLSA, 54 X 42 MM</t>
  </si>
  <si>
    <t>TUBO COLETOR DE ESGOTO PVC, JEI, DN 250 MM (NBR 7362)</t>
  </si>
  <si>
    <t>Comprasnet</t>
  </si>
  <si>
    <t>Conjunto Torneira , Aplicação: Purificador De Água Latina</t>
  </si>
  <si>
    <t>Suporte Para Fixação Em Parede , Aplicação: Purificador De Água, Marca Latina Pa355</t>
  </si>
  <si>
    <t>Refil Filtro, Aplicação: Purificador De Água, Marca Latina Pa355</t>
  </si>
  <si>
    <t>TUBO COLETOR DE ESGOTO PVC, JEI, DN 200 MM (NBR 7362)</t>
  </si>
  <si>
    <t xml:space="preserve"> 05.08.120</t>
  </si>
  <si>
    <t>TRANSPORTE DE ENTULHO, PARA DISTÂNCIAS SUPERIORES AO 15° KM ATÉ O 20° KM</t>
  </si>
  <si>
    <t>m³</t>
  </si>
  <si>
    <t>COMBATE INCENDIO</t>
  </si>
  <si>
    <t>603800 </t>
  </si>
  <si>
    <t>RECARGA DE EXTINTOR DE INCENDIO, TIPO PO QUIMICO DE 4KG</t>
  </si>
  <si>
    <t>600734 </t>
  </si>
  <si>
    <t>RECARGA DE EXTINTOR DE INCENDIO, TIPO PO QUIMICO DE 6KG</t>
  </si>
  <si>
    <t>239933 </t>
  </si>
  <si>
    <t>RECARGA DE EXTINTOR DE INCENDIO, TIPO PO QUIMICO DE 8KG</t>
  </si>
  <si>
    <t>237158 </t>
  </si>
  <si>
    <t>RECARGA DE EXTINTOR DE INCENDIO, TIPO PO QUIMICO DE 12KG</t>
  </si>
  <si>
    <t>359447 </t>
  </si>
  <si>
    <t>RECARGA DE EXTINTOR DE INCENDIO, TIPO PO QUIMICO DE 100KG</t>
  </si>
  <si>
    <t>236536 </t>
  </si>
  <si>
    <t>RECARGA DE EXTINTOR DE INCENDIO, TIPO GAS CARBONICO DE 4KG</t>
  </si>
  <si>
    <t>269330 </t>
  </si>
  <si>
    <t>RECARGA DE EXTINTOR DE INCENDIO, TIPO GAS CARBONICO DE 6KG</t>
  </si>
  <si>
    <t>236537 </t>
  </si>
  <si>
    <t>RECARGA DE EXTINTOR DE INCENDIO, TIPO GAS CARBONICO DE 10KG</t>
  </si>
  <si>
    <t>255976 </t>
  </si>
  <si>
    <t>RECARGA DE EXTINTOR DE INCENDIO, TIPO GAS CARBONICO DE 25KG</t>
  </si>
  <si>
    <t>269329 </t>
  </si>
  <si>
    <t>RECARGA DE EXTINTOR DE INCENDIO, TIPO AGUA-PRESSURIZADA DE 10 LITROS</t>
  </si>
  <si>
    <t>CLIMATIZAÇÃO</t>
  </si>
  <si>
    <t>469612 </t>
  </si>
  <si>
    <t>HELICE DA CONDENSADORA</t>
  </si>
  <si>
    <t>460058 </t>
  </si>
  <si>
    <t>MOTOR COMPRESSOR</t>
  </si>
  <si>
    <t>460041 </t>
  </si>
  <si>
    <t>EVAPORADORA</t>
  </si>
  <si>
    <t>486672 </t>
  </si>
  <si>
    <t>CONDENSADORA</t>
  </si>
  <si>
    <t>608435 </t>
  </si>
  <si>
    <t>DEFLETOR</t>
  </si>
  <si>
    <t>459876 </t>
  </si>
  <si>
    <t>PLACA DE COMANDO EVAPORADORA</t>
  </si>
  <si>
    <t>459874 </t>
  </si>
  <si>
    <t>PLACA DE COMANDO CONDENSADORA</t>
  </si>
  <si>
    <t>460028 </t>
  </si>
  <si>
    <t>MOTOR VENTILADOR</t>
  </si>
  <si>
    <t>607642 </t>
  </si>
  <si>
    <t>VALVULA SERVIÇOS</t>
  </si>
  <si>
    <t>480984 </t>
  </si>
  <si>
    <t>PAINEL FRONTAL COMPLETO</t>
  </si>
  <si>
    <t>475701 </t>
  </si>
  <si>
    <t>RELE ELETRICO</t>
  </si>
  <si>
    <t>459881 </t>
  </si>
  <si>
    <t>PLACA RECEPTORA</t>
  </si>
  <si>
    <t>459872 </t>
  </si>
  <si>
    <t>SENSOR DE TEMPERATURA</t>
  </si>
  <si>
    <t>GAS REFRIGERANTE R32 3KG</t>
  </si>
  <si>
    <t>VALOR ANUAL ESTIMADO DE MATERIAIS DE CONSUMO E PEÇAS DE REPOSIÇÃO S/BDI</t>
  </si>
  <si>
    <t>BDI</t>
  </si>
  <si>
    <t xml:space="preserve">VALOR TOTAL ANUAL C/BDI </t>
  </si>
  <si>
    <t xml:space="preserve">VALOR TOTAL MENSAL C/BDI </t>
  </si>
  <si>
    <t>PLANILHA ESTIMATIVA DE CUSTOS SERVIÇOS EVENTUAIS - SOB DEMANDA</t>
  </si>
  <si>
    <t>ESTIMATIVA ANUAL</t>
  </si>
  <si>
    <t>CBO</t>
  </si>
  <si>
    <t>Categorias Profissionais</t>
  </si>
  <si>
    <t>Und.</t>
  </si>
  <si>
    <t>Valor unitário da hora</t>
  </si>
  <si>
    <t xml:space="preserve">Qtde de horas estimadas </t>
  </si>
  <si>
    <t>Valor Anual Horário Normal</t>
  </si>
  <si>
    <t>Subtotal Anual (R$)</t>
  </si>
  <si>
    <t>(CBO 7152-10)</t>
  </si>
  <si>
    <t>Pedreiro (com encargos complementares)</t>
  </si>
  <si>
    <t>hora</t>
  </si>
  <si>
    <t>(CBO 7164-05)</t>
  </si>
  <si>
    <t>Gesseiro (com encargos complementares)</t>
  </si>
  <si>
    <t>(CBO 7163-05)</t>
  </si>
  <si>
    <t xml:space="preserve">Vidraceiro (com encargos complementares) </t>
  </si>
  <si>
    <t>(CBO 7166-10)</t>
  </si>
  <si>
    <t>Pintor (com encargos complementares)</t>
  </si>
  <si>
    <t>(CBO 7241-10)</t>
  </si>
  <si>
    <t xml:space="preserve">Encanador ou Bombeiro Hidráulico (com encargos complementares) </t>
  </si>
  <si>
    <t>(CBO 7711-05)</t>
  </si>
  <si>
    <t xml:space="preserve">Marceneiro (com encargos complementares) </t>
  </si>
  <si>
    <t>(CBO 7243-15)</t>
  </si>
  <si>
    <t xml:space="preserve">Soldador (com encargos complementares) </t>
  </si>
  <si>
    <t>(CBO 7244-40)</t>
  </si>
  <si>
    <t xml:space="preserve">Serralheiro (com encargos complementares) </t>
  </si>
  <si>
    <t>(CBO 7156-10)</t>
  </si>
  <si>
    <t>Eletricista (com encargos complementares)</t>
  </si>
  <si>
    <t>(CBO 3181-05)</t>
  </si>
  <si>
    <t>Desenhista projetista (com encargos complementares)</t>
  </si>
  <si>
    <t>(CBO 5143-25)</t>
  </si>
  <si>
    <t>Auxiliar de serviços gerais (com encargos complementares)</t>
  </si>
  <si>
    <t>(CBO 2141-05)</t>
  </si>
  <si>
    <t>Arquiteto de obra junior (com encargos complementares)</t>
  </si>
  <si>
    <t>(CBO 3141-15)</t>
  </si>
  <si>
    <t>Técnico em Refrigeração</t>
  </si>
  <si>
    <t>(CBO 6220-20)</t>
  </si>
  <si>
    <t>Jardineiro/Operador de Roçadeira</t>
  </si>
  <si>
    <t>(CBO 7162-15)</t>
  </si>
  <si>
    <t>Telhadista (com encargos complementares)</t>
  </si>
  <si>
    <t>VALOR ANUAL ESTIMADO DE SERVIÇOS EVENTUAIS S/BDI</t>
  </si>
  <si>
    <t>PLANILHA DE CUSTOS E FORMAÇÃO DE PREÇO</t>
  </si>
  <si>
    <t xml:space="preserve"> Município da Prestação de Serviços →</t>
  </si>
  <si>
    <t>SÃO_PAULO</t>
  </si>
  <si>
    <t>ARARAQUARA</t>
  </si>
  <si>
    <t>ARAÇATUBA</t>
  </si>
  <si>
    <t>BAURU</t>
  </si>
  <si>
    <t>CAMPINAS</t>
  </si>
  <si>
    <t>CRUZEIRO</t>
  </si>
  <si>
    <t>JALES</t>
  </si>
  <si>
    <t>MARÍLIA</t>
  </si>
  <si>
    <t>PIRACICABA</t>
  </si>
  <si>
    <t>PRUDENTE</t>
  </si>
  <si>
    <t>RIBEIRÃO_PRETO</t>
  </si>
  <si>
    <t>SÃO_JOSÉ_RIO_PRETO</t>
  </si>
  <si>
    <t>SÃO_JOSÉ_CAMPOS</t>
  </si>
  <si>
    <t>SOROCABA</t>
  </si>
  <si>
    <t>SÃO_SEBASTIÃO</t>
  </si>
  <si>
    <t>SANTOS</t>
  </si>
  <si>
    <t>subUnidade da PF no Município →</t>
  </si>
  <si>
    <t>SEDE</t>
  </si>
  <si>
    <t>Jaguaribe</t>
  </si>
  <si>
    <t>RPO</t>
  </si>
  <si>
    <t>Função do Funcionário →</t>
  </si>
  <si>
    <t xml:space="preserve">Supervisor
</t>
  </si>
  <si>
    <t xml:space="preserve">Encarregado
</t>
  </si>
  <si>
    <t xml:space="preserve">Oficial de Manutenção
</t>
  </si>
  <si>
    <t xml:space="preserve">Assistente Administrativo
</t>
  </si>
  <si>
    <t>Auxiliar de Manutenção</t>
  </si>
  <si>
    <t>Técnico em CFTV e 
Controle de Acesso</t>
  </si>
  <si>
    <t>Oficial de Manutenção
12x36D</t>
  </si>
  <si>
    <t>Oficial de Manutenção
12x36N</t>
  </si>
  <si>
    <t>Técnico em Eletroeletrônica
12x36D</t>
  </si>
  <si>
    <t>Técnico em Eletroeletrônica
12x36N</t>
  </si>
  <si>
    <t>Bombeiro Hidráulico</t>
  </si>
  <si>
    <t>Marceneiro</t>
  </si>
  <si>
    <t>Serralheiro</t>
  </si>
  <si>
    <t>Jardineiro</t>
  </si>
  <si>
    <t>Oficial de Manutenção</t>
  </si>
  <si>
    <t>Técnico em Eletroeletrônica</t>
  </si>
  <si>
    <t>Qualificação  →</t>
  </si>
  <si>
    <t>Previsão de pagamento de PERICULOSIDADE →</t>
  </si>
  <si>
    <t>MÓDULO 1 – Composição da Remuneração</t>
  </si>
  <si>
    <t>Valor (R$)</t>
  </si>
  <si>
    <t>Salário Base</t>
  </si>
  <si>
    <t>Adicional de Periculosidade (30%)</t>
  </si>
  <si>
    <t>Adicional Noturno</t>
  </si>
  <si>
    <t>Adicional de Hora Noturna Reduzida</t>
  </si>
  <si>
    <t>VALOR DA REMUNERAÇÃO</t>
  </si>
  <si>
    <t>MÓDULO 2 – Encargos Sociais e Trabalhistas e Benefícios Anuais, Mensais e Diários</t>
  </si>
  <si>
    <r>
      <t>2.1 – 13º Salário</t>
    </r>
    <r>
      <rPr>
        <b/>
        <sz val="9"/>
        <rFont val="Calibri"/>
        <family val="2"/>
      </rPr>
      <t xml:space="preserve"> e Adicional de Férias</t>
    </r>
  </si>
  <si>
    <t>13º salário</t>
  </si>
  <si>
    <t>Terço constitucional de férias</t>
  </si>
  <si>
    <r>
      <t xml:space="preserve">TOTAL </t>
    </r>
    <r>
      <rPr>
        <b/>
        <u/>
        <sz val="9"/>
        <color indexed="30"/>
        <rFont val="Calibri"/>
        <family val="2"/>
      </rPr>
      <t>(SERÁ DEPOSITADO NA CONTA VINCULADA !!!)</t>
    </r>
  </si>
  <si>
    <t>RAT  (Riscos Ambientais do Trabalho)</t>
  </si>
  <si>
    <t>FAP (Fator Acidentário de Prevenção)</t>
  </si>
  <si>
    <t>SUBMÓDULO 2.3 – Benefícios Mensais e Diários</t>
  </si>
  <si>
    <t>2.3.8 Ajuda Filho Deficiente</t>
  </si>
  <si>
    <t>2.3.10 Vale Transporte</t>
  </si>
  <si>
    <t>2.3.11 Outros: Especifique</t>
  </si>
  <si>
    <t>QUADRO-RESUMO do MÓDULO 2 - Encargos e Benefícios anuais, mensais e diários</t>
  </si>
  <si>
    <t>2 – Encargos Sociais e Trabalhistas e Benefícios Anuais, Mensais e Diários</t>
  </si>
  <si>
    <t>2.1 – 13º Salário, Férias e Adicional de Férias</t>
  </si>
  <si>
    <t>2.3 – Benefícios Mensais e Diários</t>
  </si>
  <si>
    <t>Probabilidade</t>
  </si>
  <si>
    <t>A.1. Aviso Prévio Indenizado</t>
  </si>
  <si>
    <t>Incidência do FGTS sobre Aviso Prévio Indenizado</t>
  </si>
  <si>
    <t>Multa do FGTS sobre o Aviso Prévio Indenizado</t>
  </si>
  <si>
    <r>
      <t xml:space="preserve">API - Aviso Prévio Indenizado - Com Probabilidade
</t>
    </r>
    <r>
      <rPr>
        <b/>
        <u/>
        <sz val="9"/>
        <color indexed="36"/>
        <rFont val="Calibri"/>
        <family val="2"/>
        <scheme val="minor"/>
      </rPr>
      <t>(</t>
    </r>
    <r>
      <rPr>
        <b/>
        <u/>
        <sz val="9"/>
        <color indexed="10"/>
        <rFont val="Calibri"/>
        <family val="2"/>
        <scheme val="minor"/>
      </rPr>
      <t>OBJETO DE DISPUTA, PODE-SE INSERIR VALORES CENTESIMAIS</t>
    </r>
    <r>
      <rPr>
        <b/>
        <u/>
        <sz val="9"/>
        <color indexed="36"/>
        <rFont val="Calibri"/>
        <family val="2"/>
        <scheme val="minor"/>
      </rPr>
      <t>)</t>
    </r>
  </si>
  <si>
    <r>
      <t>Deve ser 5,00% ou maior</t>
    </r>
    <r>
      <rPr>
        <sz val="8"/>
        <rFont val="Calibri"/>
        <family val="2"/>
      </rPr>
      <t>→</t>
    </r>
  </si>
  <si>
    <r>
      <t>Art. 488 da CLT. - Custo 7 dias a mais APT (</t>
    </r>
    <r>
      <rPr>
        <u/>
        <sz val="9"/>
        <rFont val="Calibri"/>
        <family val="2"/>
        <scheme val="minor"/>
      </rPr>
      <t>Após ano 1 reduzir para 3/30/12</t>
    </r>
    <r>
      <rPr>
        <sz val="9"/>
        <rFont val="Calibri"/>
        <family val="2"/>
        <scheme val="minor"/>
      </rPr>
      <t>)</t>
    </r>
  </si>
  <si>
    <t>Incidência do Submódulo 2.2. sobre 7 dias a mais APT</t>
  </si>
  <si>
    <t>Multa do FGTS sobre o Aviso Prévio Trabalhado</t>
  </si>
  <si>
    <t>APT - Aviso Prévio Trabalhado - Com Probabilidade</t>
  </si>
  <si>
    <r>
      <t xml:space="preserve">TOTAL DE PROVISÃO PARA RESCISÃO  </t>
    </r>
    <r>
      <rPr>
        <b/>
        <u/>
        <sz val="9"/>
        <color indexed="30"/>
        <rFont val="Calibri"/>
        <family val="2"/>
        <scheme val="minor"/>
      </rPr>
      <t>(SERÁ DEPOSITADO NA CONTA VINCULADA !!!)</t>
    </r>
  </si>
  <si>
    <t xml:space="preserve">Base de Cálculo para o MÓDULO 4 = MÓDULO 1 + MÓDULO 2 + MÓDULO 3 </t>
  </si>
  <si>
    <t>MÓDULO 1  – Composição da Remuneração</t>
  </si>
  <si>
    <t>MÓDULO 2  – Encargos Sociais e Trabalhistas e Benefícios Anuais, Mensais e Diários</t>
  </si>
  <si>
    <t>MÓDULO 3  – Provisão para Rescisão</t>
  </si>
  <si>
    <r>
      <t xml:space="preserve">Substituto na cobertura de Férias </t>
    </r>
    <r>
      <rPr>
        <b/>
        <u/>
        <sz val="9"/>
        <color indexed="17"/>
        <rFont val="Calibri"/>
        <family val="2"/>
      </rPr>
      <t>(NÃO SERÁ OBJETO DE DISPUTA)</t>
    </r>
  </si>
  <si>
    <r>
      <t>Ausências Legais em</t>
    </r>
    <r>
      <rPr>
        <b/>
        <sz val="9"/>
        <color rgb="FFFF0000"/>
        <rFont val="Calibri"/>
        <family val="2"/>
      </rPr>
      <t xml:space="preserve"> </t>
    </r>
    <r>
      <rPr>
        <b/>
        <u/>
        <sz val="9"/>
        <color rgb="FFFF0000"/>
        <rFont val="Calibri"/>
        <family val="2"/>
      </rPr>
      <t>DIAS ÚTEIS</t>
    </r>
    <r>
      <rPr>
        <sz val="9"/>
        <rFont val="Calibri"/>
        <family val="2"/>
      </rPr>
      <t xml:space="preserve"> (incluem todos as demais ausências como maternidade, paternidade, acidente de trabalho, etc) </t>
    </r>
    <r>
      <rPr>
        <u/>
        <sz val="9"/>
        <color indexed="36"/>
        <rFont val="Calibri"/>
        <family val="2"/>
      </rPr>
      <t>(</t>
    </r>
    <r>
      <rPr>
        <u/>
        <sz val="9"/>
        <color indexed="10"/>
        <rFont val="Calibri"/>
        <family val="2"/>
      </rPr>
      <t>OBJETO DE DISPUTA, PODE-SE INSERIR VALORES FRACIONADOS</t>
    </r>
    <r>
      <rPr>
        <u/>
        <sz val="9"/>
        <color indexed="36"/>
        <rFont val="Calibri"/>
        <family val="2"/>
      </rPr>
      <t>)</t>
    </r>
    <r>
      <rPr>
        <sz val="9"/>
        <rFont val="Calibri"/>
        <family val="2"/>
      </rPr>
      <t xml:space="preserve">
</t>
    </r>
    <r>
      <rPr>
        <sz val="9"/>
        <color indexed="36"/>
        <rFont val="Calibri"/>
        <family val="2"/>
      </rPr>
      <t>EMPRESA RECEBERÁ ESSE VALOR MENSALMENTE, INDEPENDENTEMENTE DAS OCORRÊNCIAS SEREM MAIORES OU MENORES QUE O VALOR OFERTADO</t>
    </r>
  </si>
  <si>
    <t>SUBMÓDULO 4.2 – Intrajornada</t>
  </si>
  <si>
    <t>4.2 – Intrajornada</t>
  </si>
  <si>
    <t>Intervalo para repouso ou alimentação</t>
  </si>
  <si>
    <t>QUADRO-RESUMO do MÓDULO 4 - Custo de Reposição do Profissional Ausente</t>
  </si>
  <si>
    <t>4 – Custo de Reposição do Profissional Ausente</t>
  </si>
  <si>
    <t>MÓDULO 5 – Insumos Diversos</t>
  </si>
  <si>
    <t>5 – Insumos Diversos</t>
  </si>
  <si>
    <t>Uniformes</t>
  </si>
  <si>
    <t>EPIs</t>
  </si>
  <si>
    <t>Equipamentos</t>
  </si>
  <si>
    <t>Ferramentas</t>
  </si>
  <si>
    <t>Outros (especificar)</t>
  </si>
  <si>
    <t>Base de Cálculo para o MÓDULO 6 = MÓDULO 1 + MÓDULO 2 + MÓDULO 3 + MÓDULO 4 + MÓDULO 5</t>
  </si>
  <si>
    <t>MÓDULO 3 – Provisão para Rescisão</t>
  </si>
  <si>
    <t xml:space="preserve">MÓDULO 4 – Custo de Reposição do Profissional Ausente </t>
  </si>
  <si>
    <r>
      <t>Custos Indiretos (percentual da empresa) (</t>
    </r>
    <r>
      <rPr>
        <b/>
        <u/>
        <sz val="9"/>
        <color indexed="10"/>
        <rFont val="Calibri"/>
        <family val="2"/>
      </rPr>
      <t>OBJETO DE DISPUTA, PODE-SE INSERIR VALORES FRACIONADOS</t>
    </r>
    <r>
      <rPr>
        <sz val="9"/>
        <rFont val="Calibri"/>
        <family val="2"/>
      </rPr>
      <t>)</t>
    </r>
  </si>
  <si>
    <r>
      <t>Lucro (percentual da empresa) (</t>
    </r>
    <r>
      <rPr>
        <b/>
        <u/>
        <sz val="9"/>
        <color indexed="10"/>
        <rFont val="Calibri"/>
        <family val="2"/>
      </rPr>
      <t>OBJETO DE DISPUTA, PODE-SE INSERIR VALORES FRACIONADOS</t>
    </r>
    <r>
      <rPr>
        <sz val="9"/>
        <rFont val="Calibri"/>
        <family val="2"/>
      </rPr>
      <t>)</t>
    </r>
  </si>
  <si>
    <t>C.2 Tributos Municipais</t>
  </si>
  <si>
    <t>ISSQN:</t>
  </si>
  <si>
    <t>Alíquota de ISSQN→</t>
  </si>
  <si>
    <t>QUADRO RESUMO DO CUSTO POR EMPREGADO</t>
  </si>
  <si>
    <t>TOTAL DO CUSTO POR TIPO DE FUNÇÃO DE EMPREGADO</t>
  </si>
  <si>
    <t>EVENTUAIS GLOSAS APLICADAS DURANTE A MEDIÇÃO MENSAL</t>
  </si>
  <si>
    <t>Observação: as glosas a serem aplicadas serão subtraídas do preço mensal de serviços na Unidade da PF. Dentre outras, tem-se: glosa por posto não ativado; glosa por posto não coberto; glosa por uniformes em não conformidade; glosas por equipamentos em não conformidade; glosas por utensílios em não conformidade etc.). 
Após os descontos das glosas, será autorizada a emissão da Nota Fiscal.
Do valor da Nota Fiscal, serão descontados INSS, impostos, tributos etc. para as retenções pertinentes.
Do valor resultante após todos os descontos, serão retidos os valores a serem depositados na CONTA VINCULADA do contrato.
Após a retenção dos valores da CONTA VINCULADA, o valor resultante será depositado na CONTA COMERCIAL da empresa contratada.</t>
  </si>
  <si>
    <t>CONTA VINCULADA</t>
  </si>
  <si>
    <r>
      <t xml:space="preserve">Valor Mensal a ser depositado na CONTA VINCULADA
</t>
    </r>
    <r>
      <rPr>
        <sz val="9"/>
        <rFont val="Calibri"/>
        <family val="2"/>
      </rPr>
      <t xml:space="preserve">Valor a ser recolhido para a </t>
    </r>
    <r>
      <rPr>
        <u/>
        <sz val="9"/>
        <color indexed="53"/>
        <rFont val="Calibri"/>
        <family val="2"/>
      </rPr>
      <t>CONTA VINCULADA</t>
    </r>
    <r>
      <rPr>
        <sz val="9"/>
        <rFont val="Calibri"/>
        <family val="2"/>
      </rPr>
      <t xml:space="preserve">, já incluído no total final do empregado acima, </t>
    </r>
    <r>
      <rPr>
        <u/>
        <sz val="9"/>
        <color indexed="36"/>
        <rFont val="Calibri"/>
        <family val="2"/>
      </rPr>
      <t>CASO NÃO OCORRAM GLOSAS POR POSTOS NÃO ATIVADOS</t>
    </r>
    <r>
      <rPr>
        <sz val="9"/>
        <rFont val="Calibri"/>
        <family val="2"/>
      </rPr>
      <t xml:space="preserve"> (os valores serão posteriormente transferidos após ocorrência do 13º, férias+1/3 férias e rescisões, conforme estipulado na IN 05/2017 e caderno de logística da conta vinculada)
(Detelhamento abaixo ↓)</t>
    </r>
  </si>
  <si>
    <t>Valor a ser depositado na CONTA VINCULADA para 13º Salário + Encargos Trabalhistas sobre 13º Salário</t>
  </si>
  <si>
    <t>Valor a ser depositado na CONTA VINCULADA para Férias + 1/3 Férias + Encargos Trabalhistas sobre Férias + 1/3 Férias</t>
  </si>
  <si>
    <t>Valor a ser depositado na CONTA VINCULADA para Encargos Trabalhistas sobre 13º Salário + Férias + 1/3 Férias ↑↑</t>
  </si>
  <si>
    <t>Valor a ser depositado na CONTA VINCULADA para Rescisões</t>
  </si>
  <si>
    <t>Equivalência posto AUX e LIMP VID →</t>
  </si>
  <si>
    <r>
      <t xml:space="preserve">Caso </t>
    </r>
    <r>
      <rPr>
        <b/>
        <sz val="9"/>
        <color rgb="FFFF0000"/>
        <rFont val="Calibri"/>
        <family val="2"/>
      </rPr>
      <t>NÃO</t>
    </r>
    <r>
      <rPr>
        <sz val="9"/>
        <rFont val="Calibri"/>
        <family val="2"/>
      </rPr>
      <t xml:space="preserve"> haja GLOSAS, esses são os valores mensais </t>
    </r>
    <r>
      <rPr>
        <sz val="9"/>
        <color rgb="FFFF0000"/>
        <rFont val="Calibri"/>
        <family val="2"/>
      </rPr>
      <t>ESTIMADOS</t>
    </r>
    <r>
      <rPr>
        <sz val="9"/>
        <rFont val="Calibri"/>
        <family val="2"/>
      </rPr>
      <t xml:space="preserve"> de SERVIÇOS de LIMPEZA por cada Unidade da PF  </t>
    </r>
    <r>
      <rPr>
        <b/>
        <sz val="9"/>
        <rFont val="Calibri"/>
        <family val="2"/>
      </rPr>
      <t>(A)</t>
    </r>
    <r>
      <rPr>
        <sz val="9"/>
        <rFont val="Calibri"/>
        <family val="2"/>
      </rPr>
      <t>→</t>
    </r>
  </si>
  <si>
    <r>
      <t xml:space="preserve">Caso </t>
    </r>
    <r>
      <rPr>
        <b/>
        <sz val="9"/>
        <color rgb="FFFF0000"/>
        <rFont val="Calibri"/>
        <family val="2"/>
      </rPr>
      <t>NÃO</t>
    </r>
    <r>
      <rPr>
        <sz val="9"/>
        <rFont val="Calibri"/>
        <family val="2"/>
      </rPr>
      <t xml:space="preserve"> haja GLOSAS, esse é o total mensal </t>
    </r>
    <r>
      <rPr>
        <sz val="9"/>
        <color rgb="FFFF0000"/>
        <rFont val="Calibri"/>
        <family val="2"/>
      </rPr>
      <t>ESTIMADO</t>
    </r>
    <r>
      <rPr>
        <sz val="9"/>
        <rFont val="Calibri"/>
        <family val="2"/>
      </rPr>
      <t xml:space="preserve"> de SERVIÇOS de LIMPEZA para todo o Estado  →</t>
    </r>
  </si>
  <si>
    <r>
      <t xml:space="preserve">Valores de </t>
    </r>
    <r>
      <rPr>
        <sz val="9"/>
        <color rgb="FFFF0000"/>
        <rFont val="Calibri"/>
        <family val="2"/>
      </rPr>
      <t>GLOSAS</t>
    </r>
    <r>
      <rPr>
        <sz val="9"/>
        <rFont val="Calibri"/>
        <family val="2"/>
      </rPr>
      <t xml:space="preserve"> de SERVIÇOS de LIMPEZA por cada Unidade da PF  </t>
    </r>
    <r>
      <rPr>
        <b/>
        <sz val="9"/>
        <rFont val="Calibri"/>
        <family val="2"/>
      </rPr>
      <t>(B)</t>
    </r>
    <r>
      <rPr>
        <sz val="9"/>
        <rFont val="Calibri"/>
        <family val="2"/>
      </rPr>
      <t>→</t>
    </r>
  </si>
  <si>
    <r>
      <t xml:space="preserve">Valores de face das </t>
    </r>
    <r>
      <rPr>
        <sz val="9"/>
        <color rgb="FFFF0000"/>
        <rFont val="Calibri"/>
        <family val="2"/>
      </rPr>
      <t>NOTAS FISCAIS</t>
    </r>
    <r>
      <rPr>
        <sz val="9"/>
        <rFont val="Calibri"/>
        <family val="2"/>
      </rPr>
      <t xml:space="preserve"> de SERVIÇOS de LIMPEZA por cada Unidade da PF  </t>
    </r>
    <r>
      <rPr>
        <b/>
        <sz val="9"/>
        <rFont val="Calibri"/>
        <family val="2"/>
      </rPr>
      <t>(C)</t>
    </r>
    <r>
      <rPr>
        <sz val="9"/>
        <rFont val="Calibri"/>
        <family val="2"/>
      </rPr>
      <t xml:space="preserve"> </t>
    </r>
    <r>
      <rPr>
        <b/>
        <sz val="9"/>
        <rFont val="Calibri"/>
        <family val="2"/>
      </rPr>
      <t xml:space="preserve">= (A) - (B) </t>
    </r>
    <r>
      <rPr>
        <sz val="9"/>
        <rFont val="Calibri"/>
        <family val="2"/>
      </rPr>
      <t>→</t>
    </r>
  </si>
  <si>
    <r>
      <t xml:space="preserve">Valores de </t>
    </r>
    <r>
      <rPr>
        <sz val="9"/>
        <color rgb="FFFF0000"/>
        <rFont val="Calibri"/>
        <family val="2"/>
      </rPr>
      <t>IMPOSTOS (IRPJ, INSS, ISSQN etc.)</t>
    </r>
    <r>
      <rPr>
        <sz val="9"/>
        <rFont val="Calibri"/>
        <family val="2"/>
      </rPr>
      <t xml:space="preserve"> sobre as NOTAS FISCAIS de SERVIÇOS de LIMPEZA por cada Unidade da PF </t>
    </r>
    <r>
      <rPr>
        <b/>
        <sz val="9"/>
        <rFont val="Calibri"/>
        <family val="2"/>
      </rPr>
      <t xml:space="preserve"> (D) = (%) x (C)</t>
    </r>
    <r>
      <rPr>
        <sz val="9"/>
        <rFont val="Calibri"/>
        <family val="2"/>
      </rPr>
      <t xml:space="preserve"> →</t>
    </r>
  </si>
  <si>
    <r>
      <t xml:space="preserve">Valores após os IMPOSTOS por cada Unidade da PF </t>
    </r>
    <r>
      <rPr>
        <b/>
        <sz val="9"/>
        <rFont val="Calibri"/>
        <family val="2"/>
      </rPr>
      <t xml:space="preserve"> (E) = (C) - (D)</t>
    </r>
    <r>
      <rPr>
        <sz val="9"/>
        <rFont val="Calibri"/>
        <family val="2"/>
      </rPr>
      <t xml:space="preserve"> →</t>
    </r>
  </si>
  <si>
    <r>
      <t xml:space="preserve">Valores mensais </t>
    </r>
    <r>
      <rPr>
        <sz val="9"/>
        <color rgb="FFFF0000"/>
        <rFont val="Calibri"/>
        <family val="2"/>
      </rPr>
      <t>ESTIMADOS</t>
    </r>
    <r>
      <rPr>
        <sz val="9"/>
        <rFont val="Calibri"/>
        <family val="2"/>
      </rPr>
      <t xml:space="preserve"> de RETENÇÕES EM CONTA VINCULADA por LIMPEZA por cada Unidade da PF </t>
    </r>
    <r>
      <rPr>
        <b/>
        <sz val="9"/>
        <rFont val="Calibri"/>
        <family val="2"/>
      </rPr>
      <t>(F)</t>
    </r>
    <r>
      <rPr>
        <sz val="9"/>
        <rFont val="Calibri"/>
        <family val="2"/>
      </rPr>
      <t xml:space="preserve"> →</t>
    </r>
  </si>
  <si>
    <r>
      <t xml:space="preserve">Total mensal </t>
    </r>
    <r>
      <rPr>
        <sz val="9"/>
        <color rgb="FFFF0000"/>
        <rFont val="Calibri"/>
        <family val="2"/>
      </rPr>
      <t>ESTIMADO</t>
    </r>
    <r>
      <rPr>
        <sz val="9"/>
        <rFont val="Calibri"/>
        <family val="2"/>
      </rPr>
      <t xml:space="preserve"> de RETENÇÃO EM CONTA VINCULADA por LIMPEZA para todo o Estado  →</t>
    </r>
  </si>
  <si>
    <r>
      <t xml:space="preserve">FÓRMULA para os valores </t>
    </r>
    <r>
      <rPr>
        <sz val="9"/>
        <color rgb="FFFF0000"/>
        <rFont val="Calibri"/>
        <family val="2"/>
      </rPr>
      <t>ESTIMADOS</t>
    </r>
    <r>
      <rPr>
        <sz val="9"/>
        <rFont val="Calibri"/>
        <family val="2"/>
      </rPr>
      <t xml:space="preserve"> para a CONTA COMERCIAL</t>
    </r>
    <r>
      <rPr>
        <b/>
        <sz val="9"/>
        <rFont val="Calibri"/>
        <family val="2"/>
      </rPr>
      <t xml:space="preserve"> (G) = (E) - (F) </t>
    </r>
    <r>
      <rPr>
        <sz val="9"/>
        <rFont val="Calibri"/>
        <family val="2"/>
      </rPr>
      <t xml:space="preserve"> →</t>
    </r>
  </si>
  <si>
    <t>Valores mensais de Custos Indiretos de LIMPEZA por cada Unidade da PF  →</t>
  </si>
  <si>
    <t>Total mensal de Custos Indiretos de LIMPEZA para todo o Estado  →</t>
  </si>
  <si>
    <t>Valores mensais de Lucro com LIMPEZA por cada Unidade da PF  →</t>
  </si>
  <si>
    <t>Total mensal de Lucro com LIMPEZA para todo o Estado  →</t>
  </si>
  <si>
    <t>Total mensal de Custos Indiretos e Lucro com LIMPEZA para todo o Estado  →</t>
  </si>
  <si>
    <t>Total mensal de Custos Indiretos e Lucro com LIMPEZA e COPEIRAGEM para todo o Estado  →</t>
  </si>
  <si>
    <t>PROPOSTA DE PREÇOS</t>
  </si>
  <si>
    <t>Nome da Empresa:</t>
  </si>
  <si>
    <r>
      <t>Pregão n</t>
    </r>
    <r>
      <rPr>
        <sz val="9"/>
        <color theme="1"/>
        <rFont val="Calibri"/>
        <family val="2"/>
      </rPr>
      <t>º:</t>
    </r>
  </si>
  <si>
    <t>CNPJ:</t>
  </si>
  <si>
    <t>Data:</t>
  </si>
  <si>
    <t>Objeto:</t>
  </si>
  <si>
    <t>Contratação de empresa especializada na prestação de serviços contínuos de manutenção predial preventiva, corretiva, preditiva e conservação de suas áreas externas, com fornecimento de mão de obra com dedicação exclusiva e também sem dedicação exclusiva (sob demanda), incluindo o fornecimento de peças e materiais (sob demanda), para atender as necessidades da Superintendência Regional de Polícia Federal em São Paulo e suas unidades descentralizadas</t>
  </si>
  <si>
    <t xml:space="preserve">Após tomar conhecimento de todas as condições estabelecidas, declaramos expressamente que: </t>
  </si>
  <si>
    <t>Supervisor_44h</t>
  </si>
  <si>
    <t>Cargo</t>
  </si>
  <si>
    <t>Quantidade de Postos</t>
  </si>
  <si>
    <t>Qtd. Total de Colaboradores</t>
  </si>
  <si>
    <t>Valor Unitário</t>
  </si>
  <si>
    <t>Valor  Mensal</t>
  </si>
  <si>
    <t>Valor Anual
(12 meses)</t>
  </si>
  <si>
    <t>Valor Contratual
(40 meses)</t>
  </si>
  <si>
    <r>
      <rPr>
        <b/>
        <sz val="10"/>
        <rFont val="Calibri"/>
        <family val="2"/>
        <scheme val="minor"/>
      </rPr>
      <t>Sede</t>
    </r>
    <r>
      <rPr>
        <sz val="10"/>
        <rFont val="Calibri"/>
        <family val="2"/>
        <scheme val="minor"/>
      </rPr>
      <t xml:space="preserve">
 (Mão de Obra com dedicação exclusiva).</t>
    </r>
  </si>
  <si>
    <t>2143-15</t>
  </si>
  <si>
    <t>Posto 
(40h/semanais)</t>
  </si>
  <si>
    <t>3131-20</t>
  </si>
  <si>
    <t>Posto 
(44h/semanais)</t>
  </si>
  <si>
    <t>Assistente Administrativo_44h</t>
  </si>
  <si>
    <t>5143-25</t>
  </si>
  <si>
    <t>4110-10</t>
  </si>
  <si>
    <t>5143-10</t>
  </si>
  <si>
    <t>3132-05</t>
  </si>
  <si>
    <t>3141-15</t>
  </si>
  <si>
    <t>Posto
12x36 Diurno</t>
  </si>
  <si>
    <t>Posto
12x36 Noturno</t>
  </si>
  <si>
    <t>Técnico em Eletroeletrônica_12x36D</t>
  </si>
  <si>
    <t>3131-05</t>
  </si>
  <si>
    <t>7241-10</t>
  </si>
  <si>
    <t>7711-05</t>
  </si>
  <si>
    <t>Jardineiro_44h</t>
  </si>
  <si>
    <t>7244-40</t>
  </si>
  <si>
    <t>Bombeiro Civil_44h</t>
  </si>
  <si>
    <t>6220-10</t>
  </si>
  <si>
    <t>5171-10</t>
  </si>
  <si>
    <t>Técnico Eletrotécnico</t>
  </si>
  <si>
    <t>SUBTOTAL : MÃO DE OBRA COM DEDICAÇÃO EXCLUSIVA (FIXA)</t>
  </si>
  <si>
    <r>
      <t xml:space="preserve">SERVIÇOS EVENTUAIS: Pedreiro, Gesseiro, Vidraceiro, Pintor, Encanador ou Bombeiro Hidráulico, Soldador, Serralheiro , Eletricista, Desenhista projetista, Auxiliar de serviços gerais, Arquiteto de obra (junior),
Telhadista, Técnico em Refrigeração, etc,...
</t>
    </r>
    <r>
      <rPr>
        <b/>
        <sz val="10"/>
        <color rgb="FFFF0000"/>
        <rFont val="Calibri"/>
        <family val="2"/>
        <scheme val="minor"/>
      </rPr>
      <t>(PAGO SE HOUVER DEMANDA)</t>
    </r>
  </si>
  <si>
    <r>
      <t xml:space="preserve">MATERIAIS DE CONSUMO E PEÇAS REPOSIÇÃO 
</t>
    </r>
    <r>
      <rPr>
        <b/>
        <sz val="10"/>
        <color indexed="10"/>
        <rFont val="Calibri"/>
        <family val="2"/>
        <scheme val="minor"/>
      </rPr>
      <t>(PAGO SE HOUVER DEMANDA)</t>
    </r>
    <r>
      <rPr>
        <sz val="10"/>
        <color theme="1"/>
        <rFont val="Calibri"/>
        <family val="2"/>
        <scheme val="minor"/>
      </rPr>
      <t xml:space="preserve">
</t>
    </r>
  </si>
  <si>
    <t>VALOR TOTAL</t>
  </si>
  <si>
    <t xml:space="preserve">Esta proposta é válida por 60 (sessenta) dias, a contar da data estabelecida para a sua apresentação. </t>
  </si>
  <si>
    <t xml:space="preserve">Local, data </t>
  </si>
  <si>
    <t>__________________________________________</t>
  </si>
  <si>
    <t xml:space="preserve">Assinatura </t>
  </si>
  <si>
    <t xml:space="preserve">Nome do Representante Legal da Empresa: </t>
  </si>
  <si>
    <t xml:space="preserve">RG: </t>
  </si>
  <si>
    <t xml:space="preserve">CPF: </t>
  </si>
  <si>
    <t>Telefone/fax/e-mail:</t>
  </si>
  <si>
    <t>SR</t>
  </si>
  <si>
    <t>POR</t>
  </si>
  <si>
    <t>RECARGA DE EXTINTOR DE INCENDIO, TIPO ESPUMA MECANICA DE 50KG</t>
  </si>
  <si>
    <t>PLANILHA DE CUSTO E FORMAÇÃO DE PREÇOS</t>
  </si>
  <si>
    <t xml:space="preserve">Instrução Normativa º 5/2017-SEGES/MPDG </t>
  </si>
  <si>
    <t>Dados da mão de obra para composição dos custos</t>
  </si>
  <si>
    <t>Data de apresentação da proposta (dia/mês/ano)</t>
  </si>
  <si>
    <t>/     /2022 - Validade: 60 dias</t>
  </si>
  <si>
    <t>Unidade de Medida</t>
  </si>
  <si>
    <t>Metro quadrado</t>
  </si>
  <si>
    <t>Nº de meses de execução contratual</t>
  </si>
  <si>
    <t>Acordo, Convenção ou Sentença Normativa em Dissídio Coletivo</t>
  </si>
  <si>
    <t>SEAC-SP X SINDEEPRES-SP</t>
  </si>
  <si>
    <t>Número do registro do intrumento coletivo no sistema Mediador</t>
  </si>
  <si>
    <t xml:space="preserve">Data base da categoria </t>
  </si>
  <si>
    <t xml:space="preserve"> Município da Prestação de Serviços</t>
  </si>
  <si>
    <t>Auxiliar de Limpeza</t>
  </si>
  <si>
    <t>Limpador de Vidros</t>
  </si>
  <si>
    <t>COM periculosidade</t>
  </si>
  <si>
    <t>SEM periculosidade</t>
  </si>
  <si>
    <t>MÓDULO 01 – Composição da Remuneração</t>
  </si>
  <si>
    <t>Adicional de Periculosidade</t>
  </si>
  <si>
    <t>Adicional de 30%</t>
  </si>
  <si>
    <t>MÓDULO 02 – Encargos Sociais e Trabalhistas e Benefícios Anuais, Mensais e Diários</t>
  </si>
  <si>
    <t>SUBMÓDULO 2.1 – 13º (décimo terceiro) Salário, Férias e Adicional de Férias</t>
  </si>
  <si>
    <t>Base de Cálculo para o SUBMÓDULO 2.2 = MÓDULO 1 + SUBMÓDULO 2.1</t>
  </si>
  <si>
    <t>SUBMÓDULO 2.1  – 13º (décimo terceiro) Salário, Férias e Adicional de Férias</t>
  </si>
  <si>
    <t xml:space="preserve">Seguro Acidente de Trabalho (SAT)           </t>
  </si>
  <si>
    <t>2.3.2 Cesta Básica - Vale Alimentação</t>
  </si>
  <si>
    <t>2.3.3 Vale Transporte</t>
  </si>
  <si>
    <t>2.3.4 Auxílio Creche</t>
  </si>
  <si>
    <t>2.3.5 Seguro de Vida em Grupo</t>
  </si>
  <si>
    <t>2.3.6 Benefício Social Familiar (Sindical)</t>
  </si>
  <si>
    <t>2.3.7 Benefício Natalidade</t>
  </si>
  <si>
    <t>MÓDULO 03 – Provisão para Rescisão</t>
  </si>
  <si>
    <t>Aviso Prévio Indenizado</t>
  </si>
  <si>
    <t>Multa do FGTS do Aviso Prévio Indenizado (40% sobre o FGTS)</t>
  </si>
  <si>
    <r>
      <t>Aviso Prévio Trabalhado</t>
    </r>
    <r>
      <rPr>
        <b/>
        <sz val="10"/>
        <rFont val="Calibri"/>
        <family val="2"/>
      </rPr>
      <t>*</t>
    </r>
  </si>
  <si>
    <t>Multa do FGTS do Aviso Prévio Trabalhado (40% sobre o FGTS)</t>
  </si>
  <si>
    <t>MÓDULO 04 – Custo de Reposição do Profissional Ausente</t>
  </si>
  <si>
    <t>Substituto na cobertura de Férias</t>
  </si>
  <si>
    <t>Dias de Afastamento</t>
  </si>
  <si>
    <t>Ausências Legais</t>
  </si>
  <si>
    <t xml:space="preserve">Licença paternidade </t>
  </si>
  <si>
    <t>Acidentes de Trabalho</t>
  </si>
  <si>
    <t>Afastamento Maternidade</t>
  </si>
  <si>
    <t>--</t>
  </si>
  <si>
    <t>Subtotal antes da incidencia de férias, 1/3 constitucional e 13º proporcionais.</t>
  </si>
  <si>
    <t>Proporcional de Férias, 1/3 e 13º sobre o custo de reposição</t>
  </si>
  <si>
    <t>Subtotal antes da incidencia  do submodulo 2.2 sobre o custo de reposição</t>
  </si>
  <si>
    <t>Incidencia do submodulo 2.2 sobre o custo de reposição</t>
  </si>
  <si>
    <t>SUBMÓDULO 4.2 – Intrajorada</t>
  </si>
  <si>
    <t>MÓDULO 05 – Insumos Diversos</t>
  </si>
  <si>
    <t xml:space="preserve">Uniformes (custo mensal por empregado) </t>
  </si>
  <si>
    <t>Materiais de Consumo e Utensílios</t>
  </si>
  <si>
    <t xml:space="preserve">Equipamentos </t>
  </si>
  <si>
    <t>MÓDULO 06 – Custos Indiretos, Tributos e Lucro</t>
  </si>
  <si>
    <t>Custos Indiretos (percentual da empresa)</t>
  </si>
  <si>
    <t>Lucro (percentual da empresa)</t>
  </si>
  <si>
    <t>C.1</t>
  </si>
  <si>
    <t>Tributos Federais</t>
  </si>
  <si>
    <t>OUTROS:</t>
  </si>
  <si>
    <t>C.2</t>
  </si>
  <si>
    <t>Tributos Municipais</t>
  </si>
  <si>
    <t>C.3</t>
  </si>
  <si>
    <t>Outros tributos</t>
  </si>
  <si>
    <t>Valor total proposto por empregado</t>
  </si>
  <si>
    <t>Importante: Todos os valores e dados registrados nas células amarelas e demais células desta planilha serão considerados como inseridos pela própria empresa proponente. Portanto as empresas devem confirmar os dados registrados através, também, de seus próprios cálculos.</t>
  </si>
  <si>
    <t>MEMÓRIA DE CÁLCULOS</t>
  </si>
  <si>
    <t>Módulo 1 - Composição da Remuneração</t>
  </si>
  <si>
    <t>Composição da Remuneração</t>
  </si>
  <si>
    <t>MEMÓRIA DE CÁLCULO</t>
  </si>
  <si>
    <t>FUNDAMENTAÇÃO LEGAL</t>
  </si>
  <si>
    <t>Salário base da função = A</t>
  </si>
  <si>
    <t>Salário base conforme Convenção Coletiva de Trabalho da categoria na Região da prestação dos serviços</t>
  </si>
  <si>
    <t>A x 30%</t>
  </si>
  <si>
    <t>CLT (Art. 189 a 192) - Constituição Federal de 1988 (Art. 7º inciso XXIII)</t>
  </si>
  <si>
    <r>
      <rPr>
        <b/>
        <sz val="9"/>
        <color theme="1"/>
        <rFont val="Calibri"/>
        <family val="2"/>
        <scheme val="minor"/>
      </rPr>
      <t>C= ((A+B)/220) x 7 x 15,2 x 20%</t>
    </r>
    <r>
      <rPr>
        <sz val="9"/>
        <color theme="1"/>
        <rFont val="Calibri"/>
        <family val="2"/>
        <scheme val="minor"/>
      </rPr>
      <t>, onde:
nr de horas por mês = 220h,
nr de horas noturnas (das 22h às 7h) = 7h,
nr de dias trabalhados no mês = 15,2 d,
percentual do adicional = 20%.</t>
    </r>
  </si>
  <si>
    <t>Constituição Federal de 1988 (art. 7º, inc. IX);
CLT (arts. 8º, §2º, 59-A, §1º e 73, §§ 1º ao 5º).</t>
  </si>
  <si>
    <t>Adicional Hora Reduzida</t>
  </si>
  <si>
    <r>
      <rPr>
        <b/>
        <sz val="9"/>
        <color theme="1"/>
        <rFont val="Calibri"/>
        <family val="2"/>
        <scheme val="minor"/>
      </rPr>
      <t>C= ((A+B)/220) x (60-52,5)/52,5 x 7 x 15,2 x 20%</t>
    </r>
    <r>
      <rPr>
        <sz val="9"/>
        <color theme="1"/>
        <rFont val="Calibri"/>
        <family val="2"/>
        <scheme val="minor"/>
      </rPr>
      <t>, onde:
nr de horas por mês = 220h,
hora noturna reduzida =  (60-52,5)/52,5
nr de horas noturnas (das 22h às 7h) = 7h,
nr de dias trabalhados no mês = 15,2 d,
percentual do adicional = 20%.</t>
    </r>
  </si>
  <si>
    <t>Constituição Federal de 1988 (art. 7º, inc. IX);
CLT (art. 73, §§ 1º ao 5º).</t>
  </si>
  <si>
    <t>Módulo 2 - Encargos Sociais e Trabalhistas e Benefícios Anuais, Mensais e Diários</t>
  </si>
  <si>
    <t>Submódulo 2.1 - 13º Salário E Adicional de Férias</t>
  </si>
  <si>
    <t>13º Salário</t>
  </si>
  <si>
    <t>%</t>
  </si>
  <si>
    <t>1/12
'(Remuneração / 12 meses)</t>
  </si>
  <si>
    <t>Constituição Federal de 1988 (Art. 7º, VIII).</t>
  </si>
  <si>
    <t>Férias e Adicional de Férias</t>
  </si>
  <si>
    <t xml:space="preserve">(1/3)/12=1/36
'(Remuneração*1/3) / 12 meses
</t>
  </si>
  <si>
    <t>Constituição Federal de 1988 (Art. 7º, XVII).</t>
  </si>
  <si>
    <t>BASE DE CÁLCULO: Módulo 1 + Submódulo 2.1</t>
  </si>
  <si>
    <t>Submódulo 2.2 - GPS, FGTS e outras contribuições</t>
  </si>
  <si>
    <t>2.2</t>
  </si>
  <si>
    <t>Encargos Previdenciários, FGTS, e outras contribuições</t>
  </si>
  <si>
    <t>-</t>
  </si>
  <si>
    <t>Lei nº 8.212/91, Art. 22, Inciso I.</t>
  </si>
  <si>
    <t>Salário Educação</t>
  </si>
  <si>
    <t>Lei 9.424/1996, art. 15; Constituição Federal de 1988 (Art. 212º, § 5º).</t>
  </si>
  <si>
    <t>Seguro Acidente do Trabalho</t>
  </si>
  <si>
    <t xml:space="preserve"> RAT x FAP = 3 x 1,000 =3,000%</t>
  </si>
  <si>
    <t xml:space="preserve">RAT x FAP, em que:  
RAT – 3% ( Anexo V do Decreto n.º 3.048/1999).
FAP – 1,000 (Conforme comprovante INSS, anexo à documentação de habilitação.
RAT x FAP = 3 x 1,000 = 3,000%                                                                                                                                                                                                                                                                                                                                                                                                                                                                                                                                                                                                                                                                                                                                                                                                                                                                                                                                                                                                                                                                                                                                                                                                                                                                              </t>
  </si>
  <si>
    <t>SESI ou SESC</t>
  </si>
  <si>
    <t>Lei n.º 8.036/90, Art. 3º;  Decreto-Lei 9.853/1946, Art. 3º</t>
  </si>
  <si>
    <t>Decreto n.º 2.318/86.</t>
  </si>
  <si>
    <t>Lei n.º 8.029/90, Art. 8º  e Lei n.º 8.154/90.</t>
  </si>
  <si>
    <t>Decreto-Lei nº 1.146/1970 (Art. 1º, inciso I)</t>
  </si>
  <si>
    <t>Lei nº 8.036, Art. 15;  Constituição Federal de 1988, Art. 7°, inciso III.</t>
  </si>
  <si>
    <t>Submódulo 2.3 - Benefícios Mensais e Diários</t>
  </si>
  <si>
    <t>Benefícios Mensais e Diários</t>
  </si>
  <si>
    <t>Tíquete Refeição</t>
  </si>
  <si>
    <t>Custo Unitário para o Empregador = A</t>
  </si>
  <si>
    <t>( A - B ) x C</t>
  </si>
  <si>
    <t>Benefício conforme Convenção Coletiva de Trabalho da categoria na Região da prestação dos serviços.</t>
  </si>
  <si>
    <t>Custo Unitário para o Empregado = B</t>
  </si>
  <si>
    <t>Média de dias trabalhados por mês em cada Unidade da PF, conforme aba "Dados do Licitante" = C</t>
  </si>
  <si>
    <t>Cesta Básica - Vale Alimentação/Vale Supermercado</t>
  </si>
  <si>
    <t>Custo Mensal para o Empregador = D</t>
  </si>
  <si>
    <t>Café da Manhã/Lanche da tarde</t>
  </si>
  <si>
    <t>Custo Mensal para o Empregador = N</t>
  </si>
  <si>
    <t>N - O</t>
  </si>
  <si>
    <t>Custo Mensal para o Empregado = O</t>
  </si>
  <si>
    <t>Seguro de Vida em Grupo</t>
  </si>
  <si>
    <t>Custo Mensal para o Empregador = J</t>
  </si>
  <si>
    <t>J - K</t>
  </si>
  <si>
    <t>Custo Mensal para o Empregado = K</t>
  </si>
  <si>
    <t>Auxílio Saúde</t>
  </si>
  <si>
    <t>Custo Mensal para o Empregador = E</t>
  </si>
  <si>
    <t>Auxílio Funeral</t>
  </si>
  <si>
    <t>Custo Mensal para o Empregador = S</t>
  </si>
  <si>
    <t>S</t>
  </si>
  <si>
    <t>Auxílio Creche</t>
  </si>
  <si>
    <t>Previsão CCT = xx% = F</t>
  </si>
  <si>
    <t>F x G x H</t>
  </si>
  <si>
    <t>Base de Cálculo previsto na CCT = G</t>
  </si>
  <si>
    <t>% Probabilidade de Incidência = H</t>
  </si>
  <si>
    <t>Benef. Social Familiar (Sindical)</t>
  </si>
  <si>
    <t>Custo Mensal para o Empregador = L</t>
  </si>
  <si>
    <t>L - M</t>
  </si>
  <si>
    <t>Custo Mensal para o Empregado = M</t>
  </si>
  <si>
    <t>Ajuda Filho Deficiente</t>
  </si>
  <si>
    <t>Previsão CCT = xx% = P</t>
  </si>
  <si>
    <t>P x Q x R</t>
  </si>
  <si>
    <t>Base de Cálculo = Piso Salarial da Função = Q</t>
  </si>
  <si>
    <t>% Probabilidade de Incidência = R</t>
  </si>
  <si>
    <t>2.3.10</t>
  </si>
  <si>
    <t xml:space="preserve"> Vale Transporte</t>
  </si>
  <si>
    <t>Custo Unitário do Bilhete (Viagem) de Transporte Público = T</t>
  </si>
  <si>
    <t>[( T x 2 x U ) - ( 6% x V )]</t>
  </si>
  <si>
    <t>Conforme Lei nº 7.418, de 16 de dezembro de 1985 (Institui o Vale-Transporte e dá outras providências).
https://www.planalto.gov.br/ccivil_03/leis/l7418.htm</t>
  </si>
  <si>
    <t>Número de Viagens por dia = 2</t>
  </si>
  <si>
    <t>Média de dias trabalhados por mês em cada Unidade da PF, conforme aba "Dados do Licitante" = U</t>
  </si>
  <si>
    <t>Participação máxima dos empregados no custeio do VT (6% sobre o salario base da categoria) = 6%</t>
  </si>
  <si>
    <t>Salário base da categoria = V</t>
  </si>
  <si>
    <t>Módulo 3 - Provisão para Rescisão</t>
  </si>
  <si>
    <t>Provisão para Rescisão</t>
  </si>
  <si>
    <t>Probabilidade de Ocorrência</t>
  </si>
  <si>
    <t>Aviso prévio indenizado</t>
  </si>
  <si>
    <t>API = (1+1/12+1/12+1/3*1/12)</t>
  </si>
  <si>
    <t>Constituição Federal de 1988 (Art. 7º, XXI); CLT (Art. 477, 487 a 491); Lei n. 12.506/2011.</t>
  </si>
  <si>
    <t>Incidência de FGTS sobre aviso prévio indenizado</t>
  </si>
  <si>
    <t>API * SubMódulo 2.2-H</t>
  </si>
  <si>
    <t>Lei nº 8.036/1990</t>
  </si>
  <si>
    <t>Multa do FGTS e contribuições sociais sobre o aviso prévio indenizado</t>
  </si>
  <si>
    <t xml:space="preserve">API * SubMódulo 2.2-H * 40% (Multa) </t>
  </si>
  <si>
    <t>Leis nº 8.036/1990, 9.491/1997, e LC 110/2001</t>
  </si>
  <si>
    <t>(A+B+C) X 5% (probababilidade de ocorrência do API)</t>
  </si>
  <si>
    <t>Aviso prévio trabalhado</t>
  </si>
  <si>
    <t>APT = (7/30/12) x (1+1/12+1/12+1/3*1/12)</t>
  </si>
  <si>
    <t>Constituição Federal de 1988 (Art. 7º, XXI); CLT (Art. 477, 487 a 491).</t>
  </si>
  <si>
    <t>Incidência dos encargos do Submódulo 2.2 sobre aviso prévio trabalhado</t>
  </si>
  <si>
    <t>APT * Σ SubMódulo 2.2</t>
  </si>
  <si>
    <t xml:space="preserve">Incidência do Submódulo 2.2 x Aviso Prévio Trabalhado, em que:   FGTS = 8%;                                                                                                                                                                                                                                                                                                                                                                                                                                                                                                                                                                                                                                                                            </t>
  </si>
  <si>
    <t>Multa sobre FGTS e contribuições sociais sobre o aviso prévio trabalhado</t>
  </si>
  <si>
    <t xml:space="preserve">((APT x SubMódulo 2.2-H) x 40%(multa)) </t>
  </si>
  <si>
    <t>Leis nº 8.036/1990, 9.491/1997, e LC 110/2001
Lei nº 13.932/2019</t>
  </si>
  <si>
    <t>Aviso prévio trabalhado Com Probabilidade</t>
  </si>
  <si>
    <t>(E+F+G) X 95% (probababilidade de ocorrência do APT)</t>
  </si>
  <si>
    <t>Módulo 4 - Custo de Reposição do Profissional Ausente</t>
  </si>
  <si>
    <t>Submódulo 4.1 – Ausência Legais</t>
  </si>
  <si>
    <t>Ausência Legais</t>
  </si>
  <si>
    <t>Dias</t>
  </si>
  <si>
    <r>
      <t xml:space="preserve">1/12 = 8,33%
'(Remuneração / 12 meses)
</t>
    </r>
    <r>
      <rPr>
        <sz val="9"/>
        <color theme="1"/>
        <rFont val="Calibri"/>
        <family val="2"/>
        <scheme val="minor"/>
      </rPr>
      <t xml:space="preserve">Base de Cálculo = MÓDULO 1 + MÓDULO 2 + MÓDULO 3 </t>
    </r>
  </si>
  <si>
    <t>Constituição Federal de 1988 (art. 7º, inc. XVII) ;
CLT (arts. 129 e 130, I)</t>
  </si>
  <si>
    <r>
      <t xml:space="preserve">Ausências Legais em </t>
    </r>
    <r>
      <rPr>
        <b/>
        <sz val="9"/>
        <color rgb="FFFF0000"/>
        <rFont val="Calibri"/>
        <family val="2"/>
        <scheme val="minor"/>
      </rPr>
      <t xml:space="preserve">DIAS ÚTEIS </t>
    </r>
    <r>
      <rPr>
        <sz val="9"/>
        <rFont val="Calibri"/>
        <family val="2"/>
        <scheme val="minor"/>
      </rPr>
      <t>(incluem todos as demais ausências como maternidade, paternidade, acidente de trabalho, etc)
(OBJETO DE DISPUTA, PODE-SE INSERIR VALORES FRACIONADOS)
EMPRESA RECEBERÁ ESSE VALOR MENSALMENTE, INDEPENDENTEMENTE DAS OCORRÊNCIAS SEREM MAIORES OU MENORES QUE O VALOR OFERTADO</t>
    </r>
  </si>
  <si>
    <t>IMPORTANTE:
O licitante deverá comprovar o valor definido nesta célula, por meio da apresentação, no Propcesso Licitatório, do documento RAIS (Relação Anual de Informações Sociais) do ano-base anterior.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8,5149</t>
  </si>
  <si>
    <t>Faltas Justificadas: Art.131 , inciso III, da CLT. Art. 476 da CLT, art. 6º, §1º, alínea "f", da Lei n. 605, de 1949, e  art. 12, alínea "f", do Decreto n. 27.048, de 1949.
Paternidade: Art. 7º, inciso XIX da CF. §1º do artigo 10 do ADCT. Lei n. 13.527/2016; 
Acidente de Trabalho: Art. 27 do Dec. 89312/84, Art. 131 da CLT e MP. 664/2014;    
Maternidade: Art. 7º inc. XVIII, CF, Lei 8.213/91, art. 72 e Lei 11770/2008. Lei n. 13.527/2016.</t>
  </si>
  <si>
    <t>Módulo 5 - Insumos Diversos</t>
  </si>
  <si>
    <t>Insumos Diversos</t>
  </si>
  <si>
    <r>
      <t>Conforme Decreto-Lei nº 5.452 de 1 de maio de 1943 (</t>
    </r>
    <r>
      <rPr>
        <i/>
        <sz val="9"/>
        <color theme="1"/>
        <rFont val="Calibri"/>
        <family val="2"/>
        <scheme val="minor"/>
      </rPr>
      <t>Aprova a Consolidação das Leis do Trabalho</t>
    </r>
    <r>
      <rPr>
        <sz val="9"/>
        <color theme="1"/>
        <rFont val="Calibri"/>
        <family val="2"/>
        <scheme val="minor"/>
      </rPr>
      <t xml:space="preserve">)
https://www.planalto.gov.br/ccivil_03/decreto-lei/del5452.htm
</t>
    </r>
  </si>
  <si>
    <t>Equipamentos de Limpeza e Higiene</t>
  </si>
  <si>
    <t>Utensílios de Limpeza</t>
  </si>
  <si>
    <t>Módulo 6 - Custos Indiretos, Tributos e Lucro</t>
  </si>
  <si>
    <t>TR</t>
  </si>
  <si>
    <t>CUSTOS INDIRETOS</t>
  </si>
  <si>
    <t>Custo Indireto = Σ (Módulo 1 a Módulo 5) * % Custos Indiretos</t>
  </si>
  <si>
    <t>Página 24 do Caderno Técnico da SEGES de Limpeza para SP 2019
https://www.gov.br/compras/pt-br/agente-publico/cadernos-tecnicos-e-valores-limites/cts-2019/ct_lim_sp_2019.pdf</t>
  </si>
  <si>
    <t xml:space="preserve">Lucro = Σ (Módulo 1 a Módulo 5) + Custos Indiretos) × % Lucro
</t>
  </si>
  <si>
    <t>Σ ( Módulos 1 + 2 + 3 + 4 + 5 + 6) * % PIS</t>
  </si>
  <si>
    <t>Σ ( Módulos 1 + 2 + 3 + 4 + 5 + 6) * % COFINS</t>
  </si>
  <si>
    <t>ISSQN</t>
  </si>
  <si>
    <t>Σ ( Módulos 1 + 2 + 3 + 4 + 5 + 6) * % ISSQN</t>
  </si>
  <si>
    <t>Conforme Legislação Tributária do Município da Prestação dos Serviços</t>
  </si>
  <si>
    <t>Σ ( Módulos 1 + 2 + 3 + 4 + 5 + Custos Indiretos + Lucro) 
______________________________________________ 
1 - (Σ % dos tributos/100)</t>
  </si>
  <si>
    <t>Memória de calculo do Limpador de Vidros</t>
  </si>
  <si>
    <t>Produtividade Mínima Permitida</t>
  </si>
  <si>
    <t>Produtividade Máxima Permitida</t>
  </si>
  <si>
    <t>MÃO DE OBRA</t>
  </si>
  <si>
    <t>(m² / dia)</t>
  </si>
  <si>
    <t>PRODUTIDADE*</t>
  </si>
  <si>
    <t>FREQÜÊNCIA NO MÊS**</t>
  </si>
  <si>
    <t>JORNADA DE TRABALHO NO MÊS (HORAS)</t>
  </si>
  <si>
    <t>= (1X2X3)</t>
  </si>
  <si>
    <t>Áreas internas</t>
  </si>
  <si>
    <t>(1/M2)</t>
  </si>
  <si>
    <t>(HORAS)</t>
  </si>
  <si>
    <t>Ki</t>
  </si>
  <si>
    <t>Áreas externas</t>
  </si>
  <si>
    <t>LIMPADOR DE VIDRO</t>
  </si>
  <si>
    <t>__1__</t>
  </si>
  <si>
    <t>___1___</t>
  </si>
  <si>
    <t>Limpador de vidros</t>
  </si>
  <si>
    <t xml:space="preserve">Esquadrias internas e externas </t>
  </si>
  <si>
    <t>Fachadas Envidraçadas</t>
  </si>
  <si>
    <t>TIPO DE ÁREA</t>
  </si>
  <si>
    <t>Qualificação do Empregado</t>
  </si>
  <si>
    <t>Produtividade Estimada</t>
  </si>
  <si>
    <t>Ki = 1/m2</t>
  </si>
  <si>
    <t>Valor Homem/Mês</t>
  </si>
  <si>
    <t>Valor/m2</t>
  </si>
  <si>
    <t>Área Total / Localidade</t>
  </si>
  <si>
    <t>Qtdd de Empregados a serem  Disponibilizados pela Empresa</t>
  </si>
  <si>
    <t>Totais Parciais</t>
  </si>
  <si>
    <t>1/produtividade</t>
  </si>
  <si>
    <t>(m²)</t>
  </si>
  <si>
    <t>SR/PF/SP</t>
  </si>
  <si>
    <t>Área de piso interna</t>
  </si>
  <si>
    <t>Área de piso externa e terra</t>
  </si>
  <si>
    <t>Supervisor de todas as áreas</t>
  </si>
  <si>
    <t>Encarregado</t>
  </si>
  <si>
    <t xml:space="preserve"> Complexo ÁGUA BRANCA</t>
  </si>
  <si>
    <t xml:space="preserve">Área de piso externa </t>
  </si>
  <si>
    <t>Esquadrias Externas</t>
  </si>
  <si>
    <t>APOIO 1</t>
  </si>
  <si>
    <t>APOIO 2</t>
  </si>
  <si>
    <t>MARILIA</t>
  </si>
  <si>
    <t>PRESIDENTE PRUDENTE</t>
  </si>
  <si>
    <t>RIBEIRÃO PRETO</t>
  </si>
  <si>
    <t>SANTOS - RIACHUELO</t>
  </si>
  <si>
    <t>SANTOS - REPÚBLICA</t>
  </si>
  <si>
    <t>SANTOS - NEPOM</t>
  </si>
  <si>
    <t>SÃO JOSÉ DOS CAMPOS</t>
  </si>
  <si>
    <t>SÃO JOSÉ DO RIO PRETO</t>
  </si>
  <si>
    <t>SÃO SEBASTIÃO</t>
  </si>
  <si>
    <t>CAB_JARD40</t>
  </si>
  <si>
    <t>SEDE_ASSADM40</t>
  </si>
  <si>
    <t>SEDE_JARD40</t>
  </si>
  <si>
    <t>CAS_TECELETROT44</t>
  </si>
  <si>
    <t>Técnico em Eletroeletrônica_44h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</si>
</sst>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8" formatCode="&quot;R$&quot;\ #,##0.00;[Red]\-&quot;R$&quot;\ #,##0.00"/>
    <numFmt numFmtId="44" formatCode="_-&quot;R$&quot;\ * #,##0.00_-;\-&quot;R$&quot;\ * #,##0.00_-;_-&quot;R$&quot;\ * &quot;-&quot;??_-;_-@_-"/>
    <numFmt numFmtId="43" formatCode="_-* #,##0.00_-;\-* #,##0.00_-;_-* &quot;-&quot;??_-;_-@_-"/>
    <numFmt numFmtId="164" formatCode="[$R$-416]&quot; &quot;#,##0.00;[Red]&quot;-&quot;[$R$-416]&quot; &quot;#,##0.00"/>
    <numFmt numFmtId="165" formatCode="&quot; R$ &quot;#,##0.00&quot; &quot;;&quot; R$ (&quot;#,##0.00&quot;)&quot;;&quot; R$ -&quot;#&quot; &quot;;@&quot; &quot;"/>
    <numFmt numFmtId="166" formatCode="0.0000%"/>
    <numFmt numFmtId="167" formatCode="#,##0.0000"/>
    <numFmt numFmtId="168" formatCode="0.0000"/>
    <numFmt numFmtId="169" formatCode="0.000%"/>
    <numFmt numFmtId="170" formatCode="_-[$R$-416]\ * #,##0.00_-;\-[$R$-416]\ * #,##0.00_-;_-[$R$-416]\ * &quot;-&quot;??_-;_-@_-"/>
    <numFmt numFmtId="171" formatCode="_(&quot;R$ &quot;* #,##0.00_);_(&quot;R$ &quot;* \(#,##0.00\);_(&quot;R$ &quot;* &quot;-&quot;??_);_(@_)"/>
    <numFmt numFmtId="172" formatCode="0.000"/>
    <numFmt numFmtId="173" formatCode="0.0"/>
    <numFmt numFmtId="174" formatCode="0.0000000"/>
    <numFmt numFmtId="175" formatCode="_-* #,##0.00000_-;\-* #,##0.00000_-;_-* &quot;-&quot;??_-;_-@_-"/>
    <numFmt numFmtId="176" formatCode="_-* #,##0_-;\-* #,##0_-;_-* &quot;-&quot;??_-;_-@_-"/>
    <numFmt numFmtId="177" formatCode="#,##0.0000_ ;\-#,##0.0000\ "/>
    <numFmt numFmtId="178" formatCode="_-* #,##0.0000_-;\-* #,##0.0000_-;_-* &quot;-&quot;??_-;_-@_-"/>
    <numFmt numFmtId="179" formatCode="#,##0_ ;\-#,##0\ "/>
    <numFmt numFmtId="180" formatCode="&quot;R$ &quot;#,##0.00"/>
    <numFmt numFmtId="181" formatCode="&quot;R$&quot;\ #,##0.00"/>
    <numFmt numFmtId="182" formatCode="_(* #,##0.00_);_(* \(#,##0.00\);_(* \-??_);_(@_)"/>
    <numFmt numFmtId="183" formatCode="&quot;R$&quot;#,##0.00"/>
    <numFmt numFmtId="184" formatCode="_-&quot;R$&quot;* #,##0.00_-;\-&quot;R$&quot;* #,##0.00_-;_-&quot;R$&quot;* &quot;-&quot;??_-;_-@_-"/>
    <numFmt numFmtId="185" formatCode="&quot; R$ &quot;#,##0.00\ ;&quot; R$ (&quot;#,##0.00\);&quot; R$ -&quot;#\ ;@\ "/>
    <numFmt numFmtId="186" formatCode="_-&quot;R$&quot;\ * #,##0.000000_-;\-&quot;R$&quot;\ * #,##0.000000_-;_-&quot;R$&quot;\ * &quot;-&quot;??????_-;_-@_-"/>
    <numFmt numFmtId="187" formatCode="#,##0.000"/>
    <numFmt numFmtId="188" formatCode="&quot;R$&quot;\ #,##0.0000"/>
    <numFmt numFmtId="189" formatCode="_-&quot;R$&quot;\ * #,##0.0000_-;\-&quot;R$&quot;\ * #,##0.0000_-;_-&quot;R$&quot;\ * &quot;-&quot;??_-;_-@_-"/>
    <numFmt numFmtId="190" formatCode="_(* #,##0.0000_);_(* \(#,##0.0000\);_(* \-??_);_(@_)"/>
    <numFmt numFmtId="191" formatCode="&quot;R$ &quot;#,##0.0000"/>
  </numFmts>
  <fonts count="142">
    <font>
      <sz val="11"/>
      <color theme="1"/>
      <name val="Arial1"/>
    </font>
    <font>
      <sz val="11"/>
      <color theme="1"/>
      <name val="Calibri"/>
      <family val="2"/>
      <scheme val="minor"/>
    </font>
    <font>
      <sz val="11"/>
      <color theme="1"/>
      <name val="Calibri"/>
      <family val="2"/>
      <scheme val="minor"/>
    </font>
    <font>
      <sz val="11"/>
      <color indexed="8"/>
      <name val="Calibri"/>
      <family val="2"/>
    </font>
    <font>
      <sz val="11"/>
      <name val="Arial1"/>
    </font>
    <font>
      <b/>
      <sz val="11"/>
      <name val="Arial1"/>
    </font>
    <font>
      <sz val="10"/>
      <name val="Calibri"/>
      <family val="2"/>
    </font>
    <font>
      <sz val="9"/>
      <color indexed="81"/>
      <name val="Segoe UI"/>
      <family val="2"/>
    </font>
    <font>
      <b/>
      <u/>
      <sz val="9"/>
      <color indexed="81"/>
      <name val="Segoe UI"/>
      <family val="2"/>
    </font>
    <font>
      <b/>
      <sz val="9"/>
      <name val="Arial"/>
      <family val="2"/>
    </font>
    <font>
      <sz val="8"/>
      <name val="Arial"/>
      <family val="2"/>
    </font>
    <font>
      <sz val="10"/>
      <name val="Arial"/>
      <family val="2"/>
    </font>
    <font>
      <b/>
      <sz val="10"/>
      <name val="Arial"/>
      <family val="2"/>
    </font>
    <font>
      <b/>
      <sz val="10"/>
      <name val="Ecofont_Spranq_eco_Sans"/>
      <family val="2"/>
    </font>
    <font>
      <sz val="10"/>
      <name val="Ecofont_Spranq_eco_Sans"/>
      <family val="2"/>
    </font>
    <font>
      <b/>
      <sz val="10"/>
      <name val="Calibri"/>
      <family val="2"/>
    </font>
    <font>
      <b/>
      <sz val="8"/>
      <name val="Calibri"/>
      <family val="2"/>
    </font>
    <font>
      <b/>
      <sz val="12"/>
      <name val="Calibri"/>
      <family val="2"/>
    </font>
    <font>
      <b/>
      <sz val="6"/>
      <name val="Calibri"/>
      <family val="2"/>
    </font>
    <font>
      <b/>
      <sz val="9"/>
      <name val="Calibri"/>
      <family val="2"/>
    </font>
    <font>
      <sz val="11"/>
      <color theme="1"/>
      <name val="Arial1"/>
    </font>
    <font>
      <sz val="11"/>
      <color theme="1"/>
      <name val="Calibri"/>
      <family val="2"/>
      <scheme val="minor"/>
    </font>
    <font>
      <sz val="11"/>
      <color rgb="FF000000"/>
      <name val="Calibri"/>
      <family val="2"/>
    </font>
    <font>
      <sz val="10"/>
      <color theme="1"/>
      <name val="Arial1"/>
    </font>
    <font>
      <b/>
      <i/>
      <sz val="16"/>
      <color theme="1"/>
      <name val="Arial1"/>
    </font>
    <font>
      <sz val="8"/>
      <color rgb="FF000000"/>
      <name val="Albany AMT"/>
    </font>
    <font>
      <b/>
      <i/>
      <u/>
      <sz val="11"/>
      <color theme="1"/>
      <name val="Arial1"/>
    </font>
    <font>
      <b/>
      <sz val="18"/>
      <color rgb="FF003366"/>
      <name val="Cambria"/>
      <family val="1"/>
    </font>
    <font>
      <b/>
      <sz val="18"/>
      <color rgb="FF004586"/>
      <name val="Cambria"/>
      <family val="1"/>
    </font>
    <font>
      <b/>
      <sz val="11"/>
      <color rgb="FF000000"/>
      <name val="Calibri"/>
      <family val="2"/>
    </font>
    <font>
      <sz val="12"/>
      <color theme="1"/>
      <name val="Arial"/>
      <family val="2"/>
    </font>
    <font>
      <sz val="10"/>
      <color theme="1"/>
      <name val="Arial"/>
      <family val="2"/>
    </font>
    <font>
      <b/>
      <sz val="10"/>
      <color theme="1"/>
      <name val="Arial"/>
      <family val="2"/>
    </font>
    <font>
      <b/>
      <sz val="11"/>
      <color rgb="FFFF0000"/>
      <name val="Arial1"/>
    </font>
    <font>
      <b/>
      <sz val="14"/>
      <color theme="1"/>
      <name val="Arial"/>
      <family val="2"/>
    </font>
    <font>
      <sz val="8"/>
      <color theme="1"/>
      <name val="Arial"/>
      <family val="2"/>
    </font>
    <font>
      <b/>
      <sz val="8"/>
      <color theme="1"/>
      <name val="Arial"/>
      <family val="2"/>
    </font>
    <font>
      <sz val="9"/>
      <color theme="1"/>
      <name val="Arial1"/>
    </font>
    <font>
      <sz val="9"/>
      <color theme="1"/>
      <name val="Calibri"/>
      <family val="2"/>
      <scheme val="minor"/>
    </font>
    <font>
      <b/>
      <u/>
      <sz val="9"/>
      <color theme="1"/>
      <name val="Calibri"/>
      <family val="2"/>
      <scheme val="minor"/>
    </font>
    <font>
      <b/>
      <sz val="9"/>
      <name val="Calibri"/>
      <family val="2"/>
      <scheme val="minor"/>
    </font>
    <font>
      <b/>
      <sz val="9"/>
      <color theme="1"/>
      <name val="Calibri"/>
      <family val="2"/>
      <scheme val="minor"/>
    </font>
    <font>
      <sz val="9"/>
      <name val="Calibri"/>
      <family val="2"/>
      <scheme val="minor"/>
    </font>
    <font>
      <sz val="9"/>
      <name val="Calibri"/>
      <family val="2"/>
    </font>
    <font>
      <sz val="9"/>
      <name val="Arial"/>
      <family val="2"/>
    </font>
    <font>
      <b/>
      <u/>
      <sz val="9"/>
      <color indexed="30"/>
      <name val="Calibri"/>
      <family val="2"/>
    </font>
    <font>
      <b/>
      <sz val="9"/>
      <color rgb="FFFF0000"/>
      <name val="Calibri"/>
      <family val="2"/>
    </font>
    <font>
      <sz val="9"/>
      <name val="Century Gothic"/>
      <family val="2"/>
    </font>
    <font>
      <b/>
      <u/>
      <sz val="9"/>
      <color indexed="17"/>
      <name val="Calibri"/>
      <family val="2"/>
    </font>
    <font>
      <b/>
      <u/>
      <sz val="9"/>
      <color indexed="10"/>
      <name val="Calibri"/>
      <family val="2"/>
    </font>
    <font>
      <sz val="9"/>
      <color rgb="FFFF0000"/>
      <name val="Calibri"/>
      <family val="2"/>
    </font>
    <font>
      <b/>
      <u/>
      <sz val="9"/>
      <color indexed="10"/>
      <name val="Calibri"/>
      <family val="2"/>
      <scheme val="minor"/>
    </font>
    <font>
      <b/>
      <u/>
      <sz val="9"/>
      <color indexed="30"/>
      <name val="Calibri"/>
      <family val="2"/>
      <scheme val="minor"/>
    </font>
    <font>
      <sz val="9"/>
      <color rgb="FFFF0000"/>
      <name val="Calibri"/>
      <family val="2"/>
      <scheme val="minor"/>
    </font>
    <font>
      <b/>
      <sz val="9"/>
      <color rgb="FFFF0000"/>
      <name val="Calibri"/>
      <family val="2"/>
      <scheme val="minor"/>
    </font>
    <font>
      <sz val="8"/>
      <name val="Calibri"/>
      <family val="2"/>
    </font>
    <font>
      <sz val="9"/>
      <color rgb="FFFF0000"/>
      <name val="Arial1"/>
    </font>
    <font>
      <sz val="8"/>
      <name val="Calibri"/>
      <family val="2"/>
      <scheme val="minor"/>
    </font>
    <font>
      <b/>
      <sz val="9"/>
      <color indexed="81"/>
      <name val="Segoe UI"/>
      <family val="2"/>
    </font>
    <font>
      <sz val="9"/>
      <color rgb="FF0070C0"/>
      <name val="Calibri"/>
      <family val="2"/>
    </font>
    <font>
      <b/>
      <u/>
      <sz val="9"/>
      <color indexed="36"/>
      <name val="Calibri"/>
      <family val="2"/>
      <scheme val="minor"/>
    </font>
    <font>
      <b/>
      <sz val="9"/>
      <color rgb="FF7030A0"/>
      <name val="Calibri"/>
      <family val="2"/>
      <scheme val="minor"/>
    </font>
    <font>
      <i/>
      <sz val="9"/>
      <color theme="4" tint="-0.249977111117893"/>
      <name val="Calibri"/>
      <family val="2"/>
    </font>
    <font>
      <u/>
      <sz val="9"/>
      <color indexed="53"/>
      <name val="Calibri"/>
      <family val="2"/>
    </font>
    <font>
      <u/>
      <sz val="9"/>
      <color indexed="36"/>
      <name val="Calibri"/>
      <family val="2"/>
    </font>
    <font>
      <u/>
      <sz val="9"/>
      <color indexed="10"/>
      <name val="Calibri"/>
      <family val="2"/>
    </font>
    <font>
      <sz val="9"/>
      <color indexed="36"/>
      <name val="Calibri"/>
      <family val="2"/>
    </font>
    <font>
      <sz val="10"/>
      <name val="Calibri"/>
      <family val="2"/>
      <scheme val="minor"/>
    </font>
    <font>
      <sz val="10"/>
      <color theme="1"/>
      <name val="Calibri"/>
      <family val="2"/>
      <scheme val="minor"/>
    </font>
    <font>
      <b/>
      <sz val="10"/>
      <color theme="1"/>
      <name val="Calibri"/>
      <family val="2"/>
      <scheme val="minor"/>
    </font>
    <font>
      <sz val="9"/>
      <color indexed="81"/>
      <name val="Calibri"/>
      <family val="2"/>
      <scheme val="minor"/>
    </font>
    <font>
      <b/>
      <sz val="9"/>
      <color indexed="81"/>
      <name val="Calibri"/>
      <family val="2"/>
      <scheme val="minor"/>
    </font>
    <font>
      <b/>
      <u/>
      <sz val="9"/>
      <color indexed="81"/>
      <name val="Calibri"/>
      <family val="2"/>
      <scheme val="minor"/>
    </font>
    <font>
      <b/>
      <u/>
      <sz val="9"/>
      <color rgb="FFFF0000"/>
      <name val="Calibri"/>
      <family val="2"/>
    </font>
    <font>
      <sz val="9"/>
      <color theme="2" tint="-0.749992370372631"/>
      <name val="Calibri"/>
      <family val="2"/>
    </font>
    <font>
      <b/>
      <sz val="12"/>
      <name val="Calibri"/>
      <family val="2"/>
      <scheme val="minor"/>
    </font>
    <font>
      <i/>
      <sz val="9"/>
      <color theme="1"/>
      <name val="Calibri"/>
      <family val="2"/>
      <scheme val="minor"/>
    </font>
    <font>
      <i/>
      <sz val="9"/>
      <color indexed="81"/>
      <name val="Segoe UI"/>
      <family val="2"/>
    </font>
    <font>
      <b/>
      <i/>
      <u/>
      <sz val="9"/>
      <color indexed="81"/>
      <name val="Segoe UI"/>
      <family val="2"/>
    </font>
    <font>
      <b/>
      <u/>
      <sz val="9"/>
      <name val="Calibri"/>
      <family val="2"/>
      <scheme val="minor"/>
    </font>
    <font>
      <u/>
      <sz val="9"/>
      <name val="Calibri"/>
      <family val="2"/>
      <scheme val="minor"/>
    </font>
    <font>
      <sz val="8"/>
      <color rgb="FFFF0000"/>
      <name val="Arial1"/>
    </font>
    <font>
      <sz val="11"/>
      <color theme="0"/>
      <name val="Calibri"/>
      <family val="2"/>
      <scheme val="minor"/>
    </font>
    <font>
      <sz val="11"/>
      <name val="Arial"/>
      <family val="2"/>
    </font>
    <font>
      <sz val="11"/>
      <color rgb="FF000000"/>
      <name val="Arial"/>
      <family val="2"/>
      <charset val="1"/>
    </font>
    <font>
      <sz val="10"/>
      <color rgb="FF000000"/>
      <name val="Arial"/>
      <family val="2"/>
      <charset val="1"/>
    </font>
    <font>
      <b/>
      <sz val="10"/>
      <name val="Calibri"/>
      <family val="2"/>
      <scheme val="minor"/>
    </font>
    <font>
      <sz val="8"/>
      <name val="Arial1"/>
    </font>
    <font>
      <sz val="10"/>
      <color rgb="FFFF0000"/>
      <name val="Calibri"/>
      <family val="2"/>
      <scheme val="minor"/>
    </font>
    <font>
      <sz val="9"/>
      <color rgb="FF333333"/>
      <name val="Arial"/>
      <family val="2"/>
    </font>
    <font>
      <b/>
      <sz val="10"/>
      <color indexed="10"/>
      <name val="Calibri"/>
      <family val="2"/>
      <scheme val="minor"/>
    </font>
    <font>
      <sz val="9"/>
      <color rgb="FF495057"/>
      <name val="Calibri"/>
      <family val="2"/>
      <scheme val="minor"/>
    </font>
    <font>
      <b/>
      <sz val="10"/>
      <color theme="0"/>
      <name val="Calibri"/>
      <family val="2"/>
      <scheme val="minor"/>
    </font>
    <font>
      <sz val="9"/>
      <name val="Arial1"/>
    </font>
    <font>
      <b/>
      <sz val="9"/>
      <color theme="0"/>
      <name val="Calibri"/>
      <family val="2"/>
      <scheme val="minor"/>
    </font>
    <font>
      <b/>
      <u val="double"/>
      <sz val="9"/>
      <name val="Calibri"/>
      <family val="2"/>
      <scheme val="minor"/>
    </font>
    <font>
      <u/>
      <sz val="9"/>
      <name val="Calibri"/>
      <family val="2"/>
    </font>
    <font>
      <b/>
      <sz val="10"/>
      <color rgb="FFFF0000"/>
      <name val="Calibri"/>
      <family val="2"/>
      <scheme val="minor"/>
    </font>
    <font>
      <sz val="10"/>
      <color rgb="FF000000"/>
      <name val="Calibri"/>
      <family val="2"/>
      <scheme val="minor"/>
    </font>
    <font>
      <b/>
      <sz val="10"/>
      <color rgb="FF000000"/>
      <name val="Calibri"/>
      <family val="2"/>
      <scheme val="minor"/>
    </font>
    <font>
      <sz val="7.5"/>
      <color rgb="FF000000"/>
      <name val="Times New Roman"/>
      <family val="1"/>
    </font>
    <font>
      <sz val="8"/>
      <color theme="1"/>
      <name val="Calibri"/>
      <family val="2"/>
      <scheme val="minor"/>
    </font>
    <font>
      <sz val="9"/>
      <color theme="4" tint="-0.249977111117893"/>
      <name val="Calibri"/>
      <family val="2"/>
    </font>
    <font>
      <sz val="12"/>
      <name val="Calibri"/>
      <family val="2"/>
      <scheme val="minor"/>
    </font>
    <font>
      <b/>
      <u/>
      <sz val="12"/>
      <color indexed="36"/>
      <name val="Calibri"/>
      <family val="2"/>
      <scheme val="minor"/>
    </font>
    <font>
      <b/>
      <u/>
      <sz val="12"/>
      <color indexed="10"/>
      <name val="Calibri"/>
      <family val="2"/>
      <scheme val="minor"/>
    </font>
    <font>
      <sz val="9"/>
      <color theme="4" tint="-0.249977111117893"/>
      <name val="Calibri"/>
      <family val="2"/>
      <scheme val="minor"/>
    </font>
    <font>
      <sz val="8"/>
      <color theme="4" tint="-0.249977111117893"/>
      <name val="Calibri"/>
      <family val="2"/>
    </font>
    <font>
      <sz val="12"/>
      <color rgb="FFFF0000"/>
      <name val="Calibri"/>
      <family val="2"/>
      <scheme val="minor"/>
    </font>
    <font>
      <b/>
      <sz val="12"/>
      <color rgb="FFFF0000"/>
      <name val="Calibri"/>
      <family val="2"/>
      <scheme val="minor"/>
    </font>
    <font>
      <b/>
      <sz val="7.5"/>
      <color rgb="FF000000"/>
      <name val="Times New Roman"/>
      <family val="1"/>
    </font>
    <font>
      <sz val="10"/>
      <color rgb="FF495057"/>
      <name val="Calibri"/>
      <family val="2"/>
      <scheme val="minor"/>
    </font>
    <font>
      <sz val="10"/>
      <color rgb="FF333333"/>
      <name val="Calibri"/>
      <family val="2"/>
      <scheme val="minor"/>
    </font>
    <font>
      <sz val="12"/>
      <color theme="1"/>
      <name val="Calibri"/>
      <family val="2"/>
      <scheme val="minor"/>
    </font>
    <font>
      <b/>
      <sz val="12"/>
      <color theme="1"/>
      <name val="Calibri"/>
      <family val="2"/>
      <scheme val="minor"/>
    </font>
    <font>
      <b/>
      <u/>
      <sz val="12"/>
      <color indexed="17"/>
      <name val="Calibri"/>
      <family val="2"/>
      <scheme val="minor"/>
    </font>
    <font>
      <b/>
      <u/>
      <sz val="12"/>
      <color rgb="FFFF0000"/>
      <name val="Calibri"/>
      <family val="2"/>
      <scheme val="minor"/>
    </font>
    <font>
      <u/>
      <sz val="12"/>
      <color indexed="36"/>
      <name val="Calibri"/>
      <family val="2"/>
      <scheme val="minor"/>
    </font>
    <font>
      <u/>
      <sz val="12"/>
      <color indexed="10"/>
      <name val="Calibri"/>
      <family val="2"/>
      <scheme val="minor"/>
    </font>
    <font>
      <sz val="12"/>
      <color indexed="36"/>
      <name val="Calibri"/>
      <family val="2"/>
      <scheme val="minor"/>
    </font>
    <font>
      <sz val="12"/>
      <color indexed="8"/>
      <name val="Calibri"/>
      <family val="2"/>
      <scheme val="minor"/>
    </font>
    <font>
      <sz val="10"/>
      <color rgb="FF000000"/>
      <name val="Arial"/>
      <family val="2"/>
    </font>
    <font>
      <b/>
      <sz val="12"/>
      <color theme="0"/>
      <name val="Calibri"/>
      <family val="2"/>
      <scheme val="minor"/>
    </font>
    <font>
      <b/>
      <sz val="20"/>
      <color rgb="FFFF0000"/>
      <name val="Calibri"/>
      <family val="2"/>
      <scheme val="minor"/>
    </font>
    <font>
      <b/>
      <sz val="20"/>
      <color rgb="FFFF0000"/>
      <name val="Calibri"/>
      <family val="2"/>
    </font>
    <font>
      <sz val="9"/>
      <color theme="1"/>
      <name val="Calibri"/>
      <family val="2"/>
    </font>
    <font>
      <b/>
      <sz val="14"/>
      <color theme="0"/>
      <name val="Calibri"/>
      <family val="2"/>
      <scheme val="minor"/>
    </font>
    <font>
      <sz val="12"/>
      <color theme="0"/>
      <name val="Calibri"/>
      <family val="2"/>
      <scheme val="minor"/>
    </font>
    <font>
      <b/>
      <sz val="12"/>
      <name val="Times New Roman"/>
      <family val="1"/>
    </font>
    <font>
      <b/>
      <sz val="10"/>
      <name val="Times New Roman"/>
      <family val="1"/>
    </font>
    <font>
      <sz val="10"/>
      <name val="Times New Roman"/>
      <family val="1"/>
    </font>
    <font>
      <sz val="10"/>
      <color theme="1"/>
      <name val="Times New Roman"/>
      <family val="1"/>
    </font>
    <font>
      <b/>
      <sz val="10"/>
      <color theme="0"/>
      <name val="Times New Roman"/>
      <family val="1"/>
    </font>
    <font>
      <b/>
      <sz val="18"/>
      <color theme="0"/>
      <name val="Times New Roman"/>
      <family val="1"/>
    </font>
    <font>
      <b/>
      <sz val="9"/>
      <color rgb="FF000000"/>
      <name val="Times New Roman"/>
      <family val="1"/>
    </font>
    <font>
      <b/>
      <sz val="12"/>
      <color theme="0"/>
      <name val="Times New Roman"/>
      <family val="1"/>
    </font>
    <font>
      <sz val="9"/>
      <name val="Times New Roman"/>
      <family val="1"/>
    </font>
    <font>
      <sz val="10"/>
      <color rgb="FF333333"/>
      <name val="Times New Roman"/>
      <family val="1"/>
    </font>
    <font>
      <b/>
      <sz val="9"/>
      <name val="Times New Roman"/>
      <family val="1"/>
    </font>
    <font>
      <u/>
      <sz val="10"/>
      <name val="Times New Roman"/>
      <family val="1"/>
    </font>
    <font>
      <b/>
      <u/>
      <sz val="10"/>
      <name val="Times New Roman"/>
      <family val="1"/>
    </font>
    <font>
      <sz val="12"/>
      <color theme="1"/>
      <name val="Times New Roman"/>
      <family val="1"/>
    </font>
  </fonts>
  <fills count="5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3"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rgb="FFFFFF00"/>
      </patternFill>
    </fill>
    <fill>
      <patternFill patternType="solid">
        <fgColor theme="0"/>
        <bgColor rgb="FFCCFFFF"/>
      </patternFill>
    </fill>
    <fill>
      <patternFill patternType="solid">
        <fgColor theme="6" tint="0.79998168889431442"/>
        <bgColor rgb="FFCCFFFF"/>
      </patternFill>
    </fill>
    <fill>
      <patternFill patternType="solid">
        <fgColor theme="6" tint="0.79998168889431442"/>
        <bgColor rgb="FFFFFFFF"/>
      </patternFill>
    </fill>
    <fill>
      <patternFill patternType="solid">
        <fgColor theme="6" tint="0.79998168889431442"/>
        <bgColor rgb="FF83CAFF"/>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rgb="FFFFFFFF"/>
      </patternFill>
    </fill>
    <fill>
      <patternFill patternType="solid">
        <fgColor rgb="FFFFFF00"/>
        <bgColor rgb="FFCCFFFF"/>
      </patternFill>
    </fill>
    <fill>
      <patternFill patternType="solid">
        <fgColor theme="0" tint="-4.9989318521683403E-2"/>
        <bgColor rgb="FFCCFFFF"/>
      </patternFill>
    </fill>
    <fill>
      <patternFill patternType="solid">
        <fgColor theme="0" tint="-4.9989318521683403E-2"/>
        <bgColor rgb="FFFFFFFF"/>
      </patternFill>
    </fill>
    <fill>
      <patternFill patternType="solid">
        <fgColor theme="0" tint="-4.9989318521683403E-2"/>
        <bgColor rgb="FFC0C0C0"/>
      </patternFill>
    </fill>
    <fill>
      <patternFill patternType="solid">
        <fgColor theme="5" tint="0.79998168889431442"/>
        <bgColor indexed="64"/>
      </patternFill>
    </fill>
    <fill>
      <patternFill patternType="solid">
        <fgColor rgb="FFFFFF00"/>
        <bgColor rgb="FFFFFF00"/>
      </patternFill>
    </fill>
    <fill>
      <patternFill patternType="solid">
        <fgColor theme="7" tint="0.79998168889431442"/>
        <bgColor rgb="FFFFFFFF"/>
      </patternFill>
    </fill>
    <fill>
      <patternFill patternType="solid">
        <fgColor theme="6" tint="0.59999389629810485"/>
        <bgColor rgb="FF0084D1"/>
      </patternFill>
    </fill>
    <fill>
      <patternFill patternType="lightHorizontal">
        <bgColor theme="6" tint="0.79995117038483843"/>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tint="-0.14999847407452621"/>
        <bgColor rgb="FFCCFFFF"/>
      </patternFill>
    </fill>
    <fill>
      <patternFill patternType="solid">
        <fgColor theme="0" tint="-4.9989318521683403E-2"/>
        <bgColor rgb="FF83CAFF"/>
      </patternFill>
    </fill>
    <fill>
      <patternFill patternType="solid">
        <fgColor theme="0" tint="-0.14999847407452621"/>
        <bgColor rgb="FFBFBFBF"/>
      </patternFill>
    </fill>
    <fill>
      <patternFill patternType="solid">
        <fgColor theme="4"/>
      </patternFill>
    </fill>
    <fill>
      <patternFill patternType="solid">
        <fgColor theme="7" tint="0.59999389629810485"/>
        <bgColor indexed="65"/>
      </patternFill>
    </fill>
    <fill>
      <patternFill patternType="solid">
        <fgColor indexed="9"/>
        <bgColor indexed="26"/>
      </patternFill>
    </fill>
    <fill>
      <patternFill patternType="solid">
        <fgColor rgb="FFD8ECF6"/>
        <bgColor indexed="64"/>
      </patternFill>
    </fill>
    <fill>
      <patternFill patternType="solid">
        <fgColor rgb="FFFFFFFF"/>
        <bgColor indexed="64"/>
      </patternFill>
    </fill>
    <fill>
      <patternFill patternType="solid">
        <fgColor rgb="FFF7F3DF"/>
        <bgColor indexed="64"/>
      </patternFill>
    </fill>
    <fill>
      <patternFill patternType="solid">
        <fgColor rgb="FFFFFF00"/>
        <bgColor indexed="41"/>
      </patternFill>
    </fill>
    <fill>
      <patternFill patternType="solid">
        <fgColor theme="4" tint="0.59999389629810485"/>
        <bgColor indexed="64"/>
      </patternFill>
    </fill>
    <fill>
      <patternFill patternType="solid">
        <fgColor theme="0"/>
        <bgColor indexed="26"/>
      </patternFill>
    </fill>
    <fill>
      <patternFill patternType="solid">
        <fgColor theme="4" tint="-0.499984740745262"/>
        <bgColor rgb="FF4472C4"/>
      </patternFill>
    </fill>
    <fill>
      <patternFill patternType="solid">
        <fgColor theme="4" tint="-0.499984740745262"/>
        <bgColor indexed="64"/>
      </patternFill>
    </fill>
    <fill>
      <patternFill patternType="solid">
        <fgColor theme="2"/>
        <bgColor indexed="64"/>
      </patternFill>
    </fill>
    <fill>
      <patternFill patternType="solid">
        <fgColor theme="2"/>
        <bgColor rgb="FFCCFFFF"/>
      </patternFill>
    </fill>
    <fill>
      <patternFill patternType="solid">
        <fgColor theme="4" tint="-0.249977111117893"/>
        <bgColor indexed="64"/>
      </patternFill>
    </fill>
    <fill>
      <patternFill patternType="solid">
        <fgColor theme="4" tint="-0.249977111117893"/>
        <bgColor rgb="FF4472C4"/>
      </patternFill>
    </fill>
    <fill>
      <patternFill patternType="solid">
        <fgColor theme="0"/>
        <bgColor rgb="FFBFBFBF"/>
      </patternFill>
    </fill>
    <fill>
      <patternFill patternType="solid">
        <fgColor rgb="FF0070C0"/>
        <bgColor indexed="64"/>
      </patternFill>
    </fill>
    <fill>
      <patternFill patternType="solid">
        <fgColor rgb="FFFFFF00"/>
        <bgColor indexed="26"/>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bottom style="thin">
        <color rgb="FF004586"/>
      </bottom>
      <diagonal/>
    </border>
    <border>
      <left/>
      <right/>
      <top style="thin">
        <color rgb="FF004586"/>
      </top>
      <bottom style="double">
        <color rgb="FF004586"/>
      </bottom>
      <diagonal/>
    </border>
    <border>
      <left/>
      <right/>
      <top style="thin">
        <color rgb="FF004586"/>
      </top>
      <bottom style="thin">
        <color rgb="FF004586"/>
      </bottom>
      <diagonal/>
    </border>
    <border>
      <left/>
      <right/>
      <top style="thin">
        <color rgb="FF004586"/>
      </top>
      <bottom/>
      <diagonal/>
    </border>
    <border>
      <left style="thin">
        <color rgb="FF004586"/>
      </left>
      <right/>
      <top/>
      <bottom/>
      <diagonal/>
    </border>
    <border>
      <left/>
      <right/>
      <top style="thin">
        <color rgb="FF004586"/>
      </top>
      <bottom style="thin">
        <color indexed="64"/>
      </bottom>
      <diagonal/>
    </border>
    <border>
      <left style="thin">
        <color rgb="FF004586"/>
      </left>
      <right style="thin">
        <color rgb="FF004586"/>
      </right>
      <top style="thin">
        <color rgb="FF004586"/>
      </top>
      <bottom style="thin">
        <color rgb="FF004586"/>
      </bottom>
      <diagonal/>
    </border>
    <border>
      <left/>
      <right style="thin">
        <color rgb="FF000000"/>
      </right>
      <top/>
      <bottom style="thin">
        <color rgb="FF000000"/>
      </bottom>
      <diagonal/>
    </border>
    <border>
      <left style="thin">
        <color indexed="64"/>
      </left>
      <right/>
      <top style="thin">
        <color indexed="64"/>
      </top>
      <bottom style="thin">
        <color rgb="FF004586"/>
      </bottom>
      <diagonal/>
    </border>
    <border>
      <left style="thin">
        <color indexed="64"/>
      </left>
      <right/>
      <top style="thin">
        <color rgb="FF004586"/>
      </top>
      <bottom style="thin">
        <color rgb="FF004586"/>
      </bottom>
      <diagonal/>
    </border>
    <border>
      <left style="thin">
        <color indexed="64"/>
      </left>
      <right/>
      <top style="thin">
        <color rgb="FF004586"/>
      </top>
      <bottom style="thin">
        <color indexed="64"/>
      </bottom>
      <diagonal/>
    </border>
    <border>
      <left style="thin">
        <color indexed="64"/>
      </left>
      <right/>
      <top/>
      <bottom style="thin">
        <color rgb="FF004586"/>
      </bottom>
      <diagonal/>
    </border>
    <border>
      <left/>
      <right/>
      <top style="thin">
        <color indexed="64"/>
      </top>
      <bottom style="thin">
        <color rgb="FF004586"/>
      </bottom>
      <diagonal/>
    </border>
    <border>
      <left style="thin">
        <color rgb="FF004586"/>
      </left>
      <right style="thin">
        <color rgb="FF004586"/>
      </right>
      <top/>
      <bottom style="thin">
        <color rgb="FF004586"/>
      </bottom>
      <diagonal/>
    </border>
    <border>
      <left style="thin">
        <color indexed="64"/>
      </left>
      <right/>
      <top style="thin">
        <color rgb="FF004586"/>
      </top>
      <bottom/>
      <diagonal/>
    </border>
    <border>
      <left style="thin">
        <color rgb="FF004586"/>
      </left>
      <right/>
      <top/>
      <bottom style="thin">
        <color rgb="FF004586"/>
      </bottom>
      <diagonal/>
    </border>
    <border>
      <left style="thin">
        <color rgb="FF004586"/>
      </left>
      <right style="thin">
        <color rgb="FF004586"/>
      </right>
      <top style="thin">
        <color rgb="FF004586"/>
      </top>
      <bottom/>
      <diagonal/>
    </border>
    <border>
      <left style="thin">
        <color indexed="64"/>
      </left>
      <right style="thin">
        <color rgb="FF004586"/>
      </right>
      <top/>
      <bottom style="thin">
        <color indexed="64"/>
      </bottom>
      <diagonal/>
    </border>
    <border>
      <left/>
      <right style="thin">
        <color rgb="FF004586"/>
      </right>
      <top style="thin">
        <color rgb="FF004586"/>
      </top>
      <bottom style="thin">
        <color rgb="FF004586"/>
      </bottom>
      <diagonal/>
    </border>
    <border>
      <left style="thin">
        <color indexed="64"/>
      </left>
      <right style="thin">
        <color rgb="FF004586"/>
      </right>
      <top style="thin">
        <color indexed="64"/>
      </top>
      <bottom/>
      <diagonal/>
    </border>
    <border>
      <left style="thin">
        <color rgb="FF004586"/>
      </left>
      <right/>
      <top style="thin">
        <color rgb="FF004586"/>
      </top>
      <bottom style="thin">
        <color rgb="FF004586"/>
      </bottom>
      <diagonal/>
    </border>
    <border>
      <left style="thin">
        <color indexed="64"/>
      </left>
      <right style="thin">
        <color indexed="64"/>
      </right>
      <top style="thin">
        <color rgb="FF004586"/>
      </top>
      <bottom/>
      <diagonal/>
    </border>
    <border>
      <left style="thin">
        <color indexed="64"/>
      </left>
      <right style="thin">
        <color rgb="FF004586"/>
      </right>
      <top style="thin">
        <color rgb="FF004586"/>
      </top>
      <bottom/>
      <diagonal/>
    </border>
    <border>
      <left style="thin">
        <color indexed="64"/>
      </left>
      <right style="thin">
        <color indexed="64"/>
      </right>
      <top style="thin">
        <color rgb="FF004586"/>
      </top>
      <bottom style="thin">
        <color rgb="FF004586"/>
      </bottom>
      <diagonal/>
    </border>
    <border>
      <left style="thin">
        <color indexed="64"/>
      </left>
      <right style="thin">
        <color indexed="64"/>
      </right>
      <top style="thin">
        <color indexed="64"/>
      </top>
      <bottom style="thin">
        <color rgb="FF004586"/>
      </bottom>
      <diagonal/>
    </border>
    <border>
      <left style="thin">
        <color indexed="64"/>
      </left>
      <right style="thin">
        <color indexed="64"/>
      </right>
      <top style="thin">
        <color rgb="FF004586"/>
      </top>
      <bottom style="thin">
        <color indexed="64"/>
      </bottom>
      <diagonal/>
    </border>
    <border>
      <left style="thin">
        <color indexed="64"/>
      </left>
      <right style="thin">
        <color rgb="FF004586"/>
      </right>
      <top style="thin">
        <color indexed="64"/>
      </top>
      <bottom style="thin">
        <color rgb="FF004586"/>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4586"/>
      </left>
      <right style="thin">
        <color rgb="FF004586"/>
      </right>
      <top/>
      <bottom/>
      <diagonal/>
    </border>
    <border>
      <left/>
      <right style="thin">
        <color indexed="64"/>
      </right>
      <top style="thin">
        <color indexed="64"/>
      </top>
      <bottom style="thin">
        <color rgb="FF004586"/>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thin">
        <color rgb="FF000000"/>
      </top>
      <bottom style="thin">
        <color indexed="64"/>
      </bottom>
      <diagonal/>
    </border>
    <border>
      <left style="thin">
        <color rgb="FF004586"/>
      </left>
      <right/>
      <top style="thin">
        <color indexed="64"/>
      </top>
      <bottom style="thin">
        <color rgb="FF004586"/>
      </bottom>
      <diagonal/>
    </border>
    <border>
      <left/>
      <right style="thin">
        <color rgb="FF004586"/>
      </right>
      <top style="thin">
        <color indexed="64"/>
      </top>
      <bottom style="thin">
        <color rgb="FF004586"/>
      </bottom>
      <diagonal/>
    </border>
    <border>
      <left/>
      <right style="thin">
        <color rgb="FF004586"/>
      </right>
      <top style="thin">
        <color indexed="64"/>
      </top>
      <bottom/>
      <diagonal/>
    </border>
    <border>
      <left style="thin">
        <color rgb="FF000000"/>
      </left>
      <right style="thin">
        <color rgb="FF000000"/>
      </right>
      <top style="thin">
        <color rgb="FF000000"/>
      </top>
      <bottom/>
      <diagonal/>
    </border>
    <border>
      <left style="thin">
        <color rgb="FF004586"/>
      </left>
      <right/>
      <top style="thin">
        <color rgb="FF004586"/>
      </top>
      <bottom/>
      <diagonal/>
    </border>
    <border>
      <left style="thin">
        <color rgb="FF004586"/>
      </left>
      <right/>
      <top/>
      <bottom style="thin">
        <color indexed="64"/>
      </bottom>
      <diagonal/>
    </border>
    <border>
      <left style="thin">
        <color rgb="FF004586"/>
      </left>
      <right/>
      <top style="thin">
        <color indexed="64"/>
      </top>
      <bottom style="thin">
        <color indexed="64"/>
      </bottom>
      <diagonal/>
    </border>
    <border>
      <left/>
      <right style="thin">
        <color rgb="FF004586"/>
      </right>
      <top style="thin">
        <color indexed="64"/>
      </top>
      <bottom style="thin">
        <color indexed="64"/>
      </bottom>
      <diagonal/>
    </border>
    <border>
      <left/>
      <right style="thin">
        <color indexed="64"/>
      </right>
      <top style="thin">
        <color rgb="FF004586"/>
      </top>
      <bottom/>
      <diagonal/>
    </border>
    <border>
      <left style="thin">
        <color theme="0" tint="-0.34998626667073579"/>
      </left>
      <right style="thin">
        <color theme="0" tint="-0.34998626667073579"/>
      </right>
      <top style="thin">
        <color theme="0" tint="-0.34998626667073579"/>
      </top>
      <bottom/>
      <diagonal/>
    </border>
    <border>
      <left/>
      <right style="thin">
        <color rgb="FF004586"/>
      </right>
      <top style="thin">
        <color rgb="FF004586"/>
      </top>
      <bottom/>
      <diagonal/>
    </border>
    <border>
      <left/>
      <right style="thin">
        <color rgb="FF004586"/>
      </right>
      <top/>
      <bottom style="thin">
        <color rgb="FF004586"/>
      </bottom>
      <diagonal/>
    </border>
    <border>
      <left/>
      <right style="thin">
        <color rgb="FF000000"/>
      </right>
      <top style="thin">
        <color indexed="64"/>
      </top>
      <bottom style="thin">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ck">
        <color theme="4" tint="-0.24994659260841701"/>
      </left>
      <right style="thin">
        <color indexed="64"/>
      </right>
      <top style="thin">
        <color indexed="64"/>
      </top>
      <bottom style="thin">
        <color indexed="64"/>
      </bottom>
      <diagonal/>
    </border>
    <border>
      <left style="thin">
        <color indexed="64"/>
      </left>
      <right style="thick">
        <color theme="4" tint="-0.24994659260841701"/>
      </right>
      <top style="thin">
        <color indexed="64"/>
      </top>
      <bottom style="thin">
        <color indexed="64"/>
      </bottom>
      <diagonal/>
    </border>
    <border>
      <left style="thick">
        <color theme="4" tint="-0.24994659260841701"/>
      </left>
      <right style="thin">
        <color indexed="64"/>
      </right>
      <top style="thin">
        <color indexed="64"/>
      </top>
      <bottom style="thick">
        <color theme="4" tint="-0.24994659260841701"/>
      </bottom>
      <diagonal/>
    </border>
    <border>
      <left style="thin">
        <color indexed="64"/>
      </left>
      <right style="thin">
        <color indexed="64"/>
      </right>
      <top style="thin">
        <color indexed="64"/>
      </top>
      <bottom style="thick">
        <color theme="4" tint="-0.24994659260841701"/>
      </bottom>
      <diagonal/>
    </border>
    <border>
      <left style="thin">
        <color indexed="64"/>
      </left>
      <right style="thick">
        <color theme="4" tint="-0.24994659260841701"/>
      </right>
      <top style="thin">
        <color indexed="64"/>
      </top>
      <bottom style="thick">
        <color theme="4" tint="-0.24994659260841701"/>
      </bottom>
      <diagonal/>
    </border>
    <border>
      <left style="thick">
        <color theme="4" tint="-0.24994659260841701"/>
      </left>
      <right/>
      <top style="thick">
        <color theme="4" tint="-0.24994659260841701"/>
      </top>
      <bottom style="thin">
        <color indexed="64"/>
      </bottom>
      <diagonal/>
    </border>
    <border>
      <left/>
      <right/>
      <top style="thick">
        <color theme="4" tint="-0.24994659260841701"/>
      </top>
      <bottom style="thin">
        <color indexed="64"/>
      </bottom>
      <diagonal/>
    </border>
    <border>
      <left/>
      <right style="thick">
        <color theme="4" tint="-0.24994659260841701"/>
      </right>
      <top style="thick">
        <color theme="4" tint="-0.24994659260841701"/>
      </top>
      <bottom style="thin">
        <color indexed="64"/>
      </bottom>
      <diagonal/>
    </border>
    <border>
      <left style="thick">
        <color theme="4" tint="-0.24994659260841701"/>
      </left>
      <right/>
      <top style="thin">
        <color indexed="64"/>
      </top>
      <bottom style="thin">
        <color indexed="64"/>
      </bottom>
      <diagonal/>
    </border>
    <border>
      <left/>
      <right style="thick">
        <color theme="4" tint="-0.24994659260841701"/>
      </right>
      <top style="thin">
        <color indexed="64"/>
      </top>
      <bottom style="thin">
        <color indexed="64"/>
      </bottom>
      <diagonal/>
    </border>
    <border>
      <left/>
      <right/>
      <top style="thin">
        <color indexed="64"/>
      </top>
      <bottom style="medium">
        <color indexed="64"/>
      </bottom>
      <diagonal/>
    </border>
  </borders>
  <cellStyleXfs count="68">
    <xf numFmtId="0" fontId="0" fillId="0" borderId="0"/>
    <xf numFmtId="165" fontId="23" fillId="0" borderId="0"/>
    <xf numFmtId="0" fontId="24" fillId="0" borderId="0">
      <alignment horizontal="center"/>
    </xf>
    <xf numFmtId="0" fontId="24" fillId="0" borderId="0">
      <alignment horizontal="center" textRotation="90"/>
    </xf>
    <xf numFmtId="44" fontId="21" fillId="0" borderId="0" applyFont="0" applyFill="0" applyBorder="0" applyAlignment="0" applyProtection="0"/>
    <xf numFmtId="171" fontId="3" fillId="0" borderId="0" applyFont="0" applyFill="0" applyBorder="0" applyAlignment="0" applyProtection="0"/>
    <xf numFmtId="0" fontId="25" fillId="0" borderId="0"/>
    <xf numFmtId="0" fontId="11" fillId="0" borderId="0"/>
    <xf numFmtId="0" fontId="22" fillId="0" borderId="0"/>
    <xf numFmtId="0" fontId="22" fillId="0" borderId="0"/>
    <xf numFmtId="9" fontId="21" fillId="0" borderId="0" applyFont="0" applyFill="0" applyBorder="0" applyAlignment="0" applyProtection="0"/>
    <xf numFmtId="9" fontId="3" fillId="0" borderId="0" applyFont="0" applyFill="0" applyBorder="0" applyAlignment="0" applyProtection="0"/>
    <xf numFmtId="0" fontId="26" fillId="0" borderId="0"/>
    <xf numFmtId="164" fontId="26" fillId="0" borderId="0"/>
    <xf numFmtId="0" fontId="27" fillId="0" borderId="0"/>
    <xf numFmtId="0" fontId="28" fillId="0" borderId="0"/>
    <xf numFmtId="0" fontId="29" fillId="0" borderId="27"/>
    <xf numFmtId="43" fontId="21" fillId="0" borderId="0" applyFont="0" applyFill="0" applyBorder="0" applyAlignment="0" applyProtection="0"/>
    <xf numFmtId="0" fontId="82" fillId="32" borderId="0" applyNumberFormat="0" applyBorder="0" applyAlignment="0" applyProtection="0"/>
    <xf numFmtId="0" fontId="2" fillId="33" borderId="0" applyNumberFormat="0" applyBorder="0" applyAlignment="0" applyProtection="0"/>
    <xf numFmtId="0" fontId="2" fillId="0" borderId="0"/>
    <xf numFmtId="0" fontId="11" fillId="0" borderId="0"/>
    <xf numFmtId="182" fontId="11" fillId="0" borderId="0" applyFill="0" applyBorder="0" applyAlignment="0" applyProtection="0"/>
    <xf numFmtId="171" fontId="3" fillId="0" borderId="0" applyFont="0" applyFill="0" applyBorder="0" applyAlignment="0" applyProtection="0"/>
    <xf numFmtId="0" fontId="3" fillId="0" borderId="0"/>
    <xf numFmtId="44" fontId="11" fillId="0" borderId="0" applyFill="0" applyBorder="0" applyAlignment="0" applyProtection="0"/>
    <xf numFmtId="18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8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3" fillId="0" borderId="0" applyFont="0" applyFill="0" applyBorder="0" applyAlignment="0" applyProtection="0"/>
    <xf numFmtId="0" fontId="84" fillId="0" borderId="0"/>
    <xf numFmtId="0" fontId="83" fillId="0" borderId="0"/>
    <xf numFmtId="0" fontId="85" fillId="0" borderId="0"/>
    <xf numFmtId="0" fontId="1" fillId="0" borderId="0"/>
    <xf numFmtId="0" fontId="1" fillId="0" borderId="0"/>
    <xf numFmtId="0" fontId="1" fillId="0" borderId="0"/>
    <xf numFmtId="0" fontId="1" fillId="0" borderId="0"/>
    <xf numFmtId="0" fontId="1" fillId="0" borderId="0"/>
    <xf numFmtId="0" fontId="83" fillId="0" borderId="0"/>
    <xf numFmtId="9" fontId="11" fillId="0" borderId="0" applyFill="0" applyBorder="0" applyAlignment="0" applyProtection="0"/>
    <xf numFmtId="9" fontId="85" fillId="0" borderId="0" applyBorder="0" applyProtection="0"/>
    <xf numFmtId="182" fontId="83"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5" fontId="85" fillId="0" borderId="0" applyBorder="0" applyProtection="0"/>
    <xf numFmtId="182" fontId="11"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2" fontId="83" fillId="0" borderId="0" applyFill="0" applyBorder="0" applyAlignment="0" applyProtection="0"/>
    <xf numFmtId="0" fontId="11" fillId="0" borderId="0"/>
    <xf numFmtId="9" fontId="3" fillId="0" borderId="0" applyFont="0" applyFill="0" applyBorder="0" applyAlignment="0" applyProtection="0"/>
    <xf numFmtId="43" fontId="11" fillId="0" borderId="0" applyFont="0" applyFill="0" applyBorder="0" applyAlignment="0" applyProtection="0"/>
  </cellStyleXfs>
  <cellXfs count="1428">
    <xf numFmtId="0" fontId="0" fillId="0" borderId="0" xfId="0"/>
    <xf numFmtId="0" fontId="30" fillId="0" borderId="0" xfId="0" applyFont="1" applyAlignment="1">
      <alignment horizontal="center" wrapText="1"/>
    </xf>
    <xf numFmtId="3" fontId="0" fillId="0" borderId="0" xfId="0" applyNumberFormat="1"/>
    <xf numFmtId="0" fontId="0" fillId="0" borderId="1" xfId="0" applyBorder="1"/>
    <xf numFmtId="0" fontId="0" fillId="3" borderId="0" xfId="0" applyFill="1"/>
    <xf numFmtId="0" fontId="31" fillId="6" borderId="1" xfId="0" applyFont="1" applyFill="1" applyBorder="1" applyAlignment="1">
      <alignment horizontal="center" vertical="center" wrapText="1"/>
    </xf>
    <xf numFmtId="0" fontId="3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2" fontId="11" fillId="0" borderId="1" xfId="0" applyNumberFormat="1" applyFont="1" applyBorder="1" applyAlignment="1">
      <alignment horizontal="center" vertical="center" wrapText="1"/>
    </xf>
    <xf numFmtId="0" fontId="31" fillId="0" borderId="0" xfId="0" applyFont="1" applyAlignment="1">
      <alignment horizontal="center" wrapText="1"/>
    </xf>
    <xf numFmtId="0" fontId="32" fillId="0" borderId="0" xfId="0" applyFont="1" applyAlignment="1">
      <alignment horizontal="center" wrapText="1"/>
    </xf>
    <xf numFmtId="4" fontId="32" fillId="0" borderId="0" xfId="0" applyNumberFormat="1" applyFont="1" applyAlignment="1">
      <alignment horizontal="center" vertical="center" wrapText="1"/>
    </xf>
    <xf numFmtId="0" fontId="0" fillId="0" borderId="0" xfId="0" applyAlignment="1">
      <alignment horizontal="center" vertical="center"/>
    </xf>
    <xf numFmtId="0" fontId="32" fillId="0" borderId="0" xfId="0" applyFont="1" applyAlignment="1">
      <alignment horizontal="center" vertical="center" wrapText="1"/>
    </xf>
    <xf numFmtId="4" fontId="12" fillId="0" borderId="0" xfId="0" applyNumberFormat="1" applyFont="1" applyAlignment="1">
      <alignment horizontal="center" vertical="center" wrapText="1"/>
    </xf>
    <xf numFmtId="173" fontId="0" fillId="0" borderId="0" xfId="0" applyNumberFormat="1"/>
    <xf numFmtId="173" fontId="11" fillId="0" borderId="1" xfId="0" applyNumberFormat="1" applyFont="1" applyBorder="1" applyAlignment="1">
      <alignment horizontal="center" vertical="center" wrapText="1"/>
    </xf>
    <xf numFmtId="44" fontId="11" fillId="0" borderId="1" xfId="4" applyFont="1" applyFill="1" applyBorder="1" applyAlignment="1" applyProtection="1">
      <alignment horizontal="center" vertical="center" wrapText="1"/>
    </xf>
    <xf numFmtId="0" fontId="11" fillId="7" borderId="1" xfId="0" applyFont="1" applyFill="1" applyBorder="1" applyAlignment="1">
      <alignment horizontal="center" vertical="center" wrapText="1"/>
    </xf>
    <xf numFmtId="0" fontId="31" fillId="0" borderId="0" xfId="0" applyFont="1"/>
    <xf numFmtId="44" fontId="31" fillId="0" borderId="0" xfId="0" applyNumberFormat="1" applyFont="1"/>
    <xf numFmtId="44" fontId="11" fillId="0" borderId="3" xfId="4" applyFont="1" applyFill="1" applyBorder="1" applyAlignment="1" applyProtection="1">
      <alignment horizontal="center" vertical="center" wrapText="1"/>
    </xf>
    <xf numFmtId="44" fontId="11" fillId="0" borderId="0" xfId="4" applyFont="1" applyFill="1" applyBorder="1" applyAlignment="1" applyProtection="1">
      <alignment horizontal="center" vertical="center" wrapText="1"/>
    </xf>
    <xf numFmtId="44" fontId="31" fillId="0" borderId="0" xfId="4" applyFont="1"/>
    <xf numFmtId="0" fontId="32" fillId="3" borderId="0" xfId="0" applyFont="1" applyFill="1" applyAlignment="1">
      <alignment horizontal="center" vertical="center" wrapText="1"/>
    </xf>
    <xf numFmtId="44" fontId="32" fillId="3" borderId="0" xfId="4" applyFont="1" applyFill="1" applyBorder="1" applyAlignment="1" applyProtection="1">
      <alignment horizontal="center" vertical="center" wrapText="1"/>
    </xf>
    <xf numFmtId="0" fontId="33" fillId="0" borderId="0" xfId="0" applyFont="1"/>
    <xf numFmtId="0" fontId="11" fillId="7" borderId="0" xfId="0" applyFont="1" applyFill="1" applyAlignment="1">
      <alignment horizontal="center" vertical="center" wrapText="1"/>
    </xf>
    <xf numFmtId="172" fontId="11" fillId="3" borderId="1" xfId="0" applyNumberFormat="1" applyFont="1" applyFill="1" applyBorder="1" applyAlignment="1">
      <alignment horizontal="center" vertical="center" wrapText="1"/>
    </xf>
    <xf numFmtId="173" fontId="11" fillId="3" borderId="1" xfId="0" applyNumberFormat="1" applyFont="1" applyFill="1" applyBorder="1" applyAlignment="1">
      <alignment horizontal="center" vertical="center" wrapText="1"/>
    </xf>
    <xf numFmtId="44" fontId="11" fillId="3" borderId="1" xfId="4" applyFont="1" applyFill="1" applyBorder="1" applyAlignment="1" applyProtection="1">
      <alignment horizontal="center" vertical="center" wrapText="1"/>
    </xf>
    <xf numFmtId="0" fontId="11" fillId="7" borderId="2" xfId="0" applyFont="1" applyFill="1" applyBorder="1" applyAlignment="1">
      <alignment horizontal="center" vertical="center" wrapText="1"/>
    </xf>
    <xf numFmtId="172" fontId="11" fillId="3" borderId="2" xfId="0" applyNumberFormat="1" applyFont="1" applyFill="1" applyBorder="1" applyAlignment="1">
      <alignment horizontal="center" vertical="center" wrapText="1"/>
    </xf>
    <xf numFmtId="173" fontId="11" fillId="0" borderId="2" xfId="0" applyNumberFormat="1" applyFont="1" applyBorder="1" applyAlignment="1">
      <alignment horizontal="center" vertical="center" wrapText="1"/>
    </xf>
    <xf numFmtId="44" fontId="11" fillId="0" borderId="2" xfId="4" applyFont="1" applyFill="1" applyBorder="1" applyAlignment="1" applyProtection="1">
      <alignment horizontal="center" vertical="center" wrapText="1"/>
    </xf>
    <xf numFmtId="172" fontId="11" fillId="3" borderId="4" xfId="0" applyNumberFormat="1" applyFont="1" applyFill="1" applyBorder="1" applyAlignment="1">
      <alignment horizontal="center" vertical="center" wrapText="1"/>
    </xf>
    <xf numFmtId="0" fontId="11" fillId="3" borderId="0" xfId="0" applyFont="1" applyFill="1" applyAlignment="1">
      <alignment horizontal="center" vertical="center" wrapText="1"/>
    </xf>
    <xf numFmtId="172" fontId="11" fillId="3" borderId="0" xfId="0" applyNumberFormat="1" applyFont="1" applyFill="1" applyAlignment="1">
      <alignment horizontal="center" vertical="center" wrapText="1"/>
    </xf>
    <xf numFmtId="44" fontId="11" fillId="3" borderId="0" xfId="4" applyFont="1" applyFill="1" applyBorder="1" applyAlignment="1" applyProtection="1">
      <alignment horizontal="center" vertical="center" wrapText="1"/>
    </xf>
    <xf numFmtId="0" fontId="11" fillId="0" borderId="0" xfId="0" applyFont="1" applyAlignment="1">
      <alignment horizontal="center" vertical="center" wrapText="1"/>
    </xf>
    <xf numFmtId="0" fontId="31" fillId="0" borderId="4" xfId="0" applyFont="1" applyBorder="1" applyAlignment="1">
      <alignment horizontal="left" vertical="center" wrapText="1"/>
    </xf>
    <xf numFmtId="0" fontId="0" fillId="0" borderId="4" xfId="0" applyBorder="1"/>
    <xf numFmtId="173" fontId="11" fillId="0" borderId="4" xfId="0" applyNumberFormat="1" applyFont="1" applyBorder="1" applyAlignment="1">
      <alignment horizontal="center" vertical="center" wrapText="1"/>
    </xf>
    <xf numFmtId="44" fontId="11" fillId="0" borderId="4" xfId="4" applyFont="1" applyFill="1" applyBorder="1" applyAlignment="1" applyProtection="1">
      <alignment horizontal="center" vertical="center" wrapText="1"/>
    </xf>
    <xf numFmtId="44" fontId="31" fillId="0" borderId="1" xfId="0" applyNumberFormat="1" applyFont="1" applyBorder="1"/>
    <xf numFmtId="0" fontId="11" fillId="7" borderId="4" xfId="0" applyFont="1" applyFill="1" applyBorder="1" applyAlignment="1">
      <alignment horizontal="center" vertical="center" wrapText="1"/>
    </xf>
    <xf numFmtId="44" fontId="31" fillId="0" borderId="4" xfId="0" applyNumberFormat="1" applyFont="1" applyBorder="1"/>
    <xf numFmtId="4" fontId="11" fillId="0" borderId="4" xfId="0" applyNumberFormat="1" applyFont="1" applyBorder="1" applyAlignment="1">
      <alignment horizontal="center" vertical="center" wrapText="1"/>
    </xf>
    <xf numFmtId="0" fontId="0" fillId="8" borderId="1" xfId="0" applyFill="1" applyBorder="1" applyAlignment="1">
      <alignment horizontal="center"/>
    </xf>
    <xf numFmtId="0" fontId="32" fillId="9" borderId="0" xfId="0" applyFont="1" applyFill="1" applyAlignment="1">
      <alignment horizontal="center" wrapText="1"/>
    </xf>
    <xf numFmtId="0" fontId="32" fillId="9" borderId="0" xfId="0" applyFont="1" applyFill="1" applyAlignment="1">
      <alignment vertical="center" wrapText="1"/>
    </xf>
    <xf numFmtId="0" fontId="32" fillId="9" borderId="0" xfId="0" applyFont="1" applyFill="1" applyAlignment="1">
      <alignment horizontal="center" vertical="center" wrapText="1"/>
    </xf>
    <xf numFmtId="44" fontId="32" fillId="9" borderId="0" xfId="4" applyFont="1" applyFill="1" applyBorder="1" applyAlignment="1" applyProtection="1">
      <alignment horizontal="center" vertical="center" wrapText="1"/>
    </xf>
    <xf numFmtId="0" fontId="31" fillId="0" borderId="1" xfId="0" applyFont="1" applyBorder="1"/>
    <xf numFmtId="0" fontId="31" fillId="0" borderId="2" xfId="0" applyFont="1" applyBorder="1" applyAlignment="1">
      <alignment horizontal="left" vertical="center" wrapText="1"/>
    </xf>
    <xf numFmtId="0" fontId="32" fillId="9" borderId="5" xfId="0" applyFont="1" applyFill="1" applyBorder="1" applyAlignment="1">
      <alignment horizontal="center" vertical="center" wrapText="1"/>
    </xf>
    <xf numFmtId="4" fontId="12" fillId="0" borderId="6" xfId="0" applyNumberFormat="1" applyFont="1" applyBorder="1" applyAlignment="1">
      <alignment horizontal="center" vertical="center" wrapText="1"/>
    </xf>
    <xf numFmtId="44" fontId="12" fillId="0" borderId="6" xfId="4" applyFont="1" applyFill="1" applyBorder="1" applyAlignment="1" applyProtection="1">
      <alignment horizontal="right" vertical="center" wrapText="1"/>
    </xf>
    <xf numFmtId="0" fontId="31" fillId="0" borderId="4" xfId="0" applyFont="1" applyBorder="1" applyAlignment="1">
      <alignment horizontal="center" vertical="center" wrapText="1"/>
    </xf>
    <xf numFmtId="2" fontId="11" fillId="0" borderId="4" xfId="0" applyNumberFormat="1" applyFont="1" applyBorder="1" applyAlignment="1">
      <alignment horizontal="center" vertical="center" wrapText="1"/>
    </xf>
    <xf numFmtId="172" fontId="11" fillId="9" borderId="0" xfId="0" applyNumberFormat="1" applyFont="1" applyFill="1" applyAlignment="1">
      <alignment horizontal="center" vertical="center" wrapText="1"/>
    </xf>
    <xf numFmtId="44" fontId="11" fillId="9" borderId="0" xfId="4" applyFont="1" applyFill="1" applyBorder="1" applyAlignment="1" applyProtection="1">
      <alignment horizontal="center" vertical="center" wrapText="1"/>
    </xf>
    <xf numFmtId="173" fontId="11" fillId="9" borderId="0" xfId="0" applyNumberFormat="1" applyFont="1" applyFill="1" applyAlignment="1">
      <alignment horizontal="center" vertical="center" wrapText="1"/>
    </xf>
    <xf numFmtId="173" fontId="12" fillId="0" borderId="6" xfId="0" applyNumberFormat="1" applyFont="1" applyBorder="1" applyAlignment="1">
      <alignment horizontal="center" vertical="center" wrapText="1"/>
    </xf>
    <xf numFmtId="44" fontId="12" fillId="0" borderId="6" xfId="4" applyFont="1" applyFill="1" applyBorder="1" applyAlignment="1" applyProtection="1">
      <alignment horizontal="center" vertical="center" wrapText="1"/>
    </xf>
    <xf numFmtId="2" fontId="31" fillId="0" borderId="4" xfId="0" applyNumberFormat="1" applyFont="1" applyBorder="1" applyAlignment="1">
      <alignment horizontal="center" vertical="center" wrapText="1"/>
    </xf>
    <xf numFmtId="0" fontId="31" fillId="0" borderId="2" xfId="0" applyFont="1" applyBorder="1"/>
    <xf numFmtId="4" fontId="32" fillId="0" borderId="2" xfId="0" applyNumberFormat="1" applyFont="1" applyBorder="1" applyAlignment="1">
      <alignment horizontal="center" vertical="center" wrapText="1"/>
    </xf>
    <xf numFmtId="173" fontId="12" fillId="0" borderId="2" xfId="0" applyNumberFormat="1" applyFont="1" applyBorder="1" applyAlignment="1">
      <alignment horizontal="center" vertical="center" wrapText="1"/>
    </xf>
    <xf numFmtId="44" fontId="12" fillId="0" borderId="2" xfId="4" applyFont="1" applyFill="1" applyBorder="1" applyAlignment="1" applyProtection="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5" xfId="0" applyFont="1" applyBorder="1" applyAlignment="1">
      <alignment horizontal="center" vertical="center" wrapText="1"/>
    </xf>
    <xf numFmtId="172" fontId="11" fillId="3" borderId="6" xfId="0" applyNumberFormat="1" applyFont="1" applyFill="1" applyBorder="1" applyAlignment="1">
      <alignment horizontal="center" vertical="center" wrapText="1"/>
    </xf>
    <xf numFmtId="173" fontId="11" fillId="0" borderId="6" xfId="0" applyNumberFormat="1" applyFont="1" applyBorder="1" applyAlignment="1">
      <alignment horizontal="center" vertical="center" wrapText="1"/>
    </xf>
    <xf numFmtId="44" fontId="11" fillId="0" borderId="6" xfId="4" applyFont="1" applyFill="1" applyBorder="1" applyAlignment="1" applyProtection="1">
      <alignment horizontal="center" vertical="center" wrapText="1"/>
    </xf>
    <xf numFmtId="0" fontId="11" fillId="9" borderId="0" xfId="0" applyFont="1" applyFill="1" applyAlignment="1">
      <alignment horizontal="center" vertical="center" wrapText="1"/>
    </xf>
    <xf numFmtId="0" fontId="32" fillId="3" borderId="0" xfId="0" applyFont="1" applyFill="1" applyAlignment="1">
      <alignment horizontal="center" wrapText="1"/>
    </xf>
    <xf numFmtId="0" fontId="11" fillId="3" borderId="2" xfId="0" applyFont="1" applyFill="1" applyBorder="1" applyAlignment="1">
      <alignment horizontal="center" vertical="center" wrapText="1"/>
    </xf>
    <xf numFmtId="0" fontId="31" fillId="3" borderId="2" xfId="0" applyFont="1" applyFill="1" applyBorder="1"/>
    <xf numFmtId="44" fontId="11" fillId="3" borderId="2" xfId="4" applyFont="1" applyFill="1" applyBorder="1" applyAlignment="1" applyProtection="1">
      <alignment horizontal="center" vertical="center" wrapText="1"/>
    </xf>
    <xf numFmtId="0" fontId="32" fillId="3" borderId="2" xfId="0" applyFont="1" applyFill="1" applyBorder="1" applyAlignment="1">
      <alignment horizontal="center" wrapText="1"/>
    </xf>
    <xf numFmtId="0" fontId="31" fillId="3" borderId="0" xfId="0" applyFont="1" applyFill="1"/>
    <xf numFmtId="4" fontId="32" fillId="0" borderId="9" xfId="0" applyNumberFormat="1" applyFont="1" applyBorder="1" applyAlignment="1">
      <alignment horizontal="center" vertical="center" wrapText="1"/>
    </xf>
    <xf numFmtId="4" fontId="11" fillId="3" borderId="1" xfId="0" applyNumberFormat="1" applyFont="1" applyFill="1" applyBorder="1" applyAlignment="1">
      <alignment horizontal="center" vertical="center" wrapText="1"/>
    </xf>
    <xf numFmtId="44" fontId="31" fillId="3" borderId="1" xfId="0" applyNumberFormat="1" applyFont="1" applyFill="1" applyBorder="1"/>
    <xf numFmtId="4" fontId="12" fillId="3" borderId="0" xfId="0" applyNumberFormat="1" applyFont="1" applyFill="1" applyAlignment="1">
      <alignment horizontal="center" vertical="center" wrapText="1"/>
    </xf>
    <xf numFmtId="44" fontId="12" fillId="3" borderId="0" xfId="4" applyFont="1" applyFill="1" applyBorder="1" applyAlignment="1" applyProtection="1">
      <alignment horizontal="center" vertical="center" wrapText="1"/>
    </xf>
    <xf numFmtId="4" fontId="32" fillId="3" borderId="0" xfId="0" applyNumberFormat="1" applyFont="1" applyFill="1" applyAlignment="1">
      <alignment horizontal="center" vertical="center" wrapText="1"/>
    </xf>
    <xf numFmtId="2" fontId="11" fillId="0" borderId="2" xfId="0" applyNumberFormat="1" applyFont="1" applyBorder="1" applyAlignment="1">
      <alignment horizontal="center" vertical="center" wrapText="1"/>
    </xf>
    <xf numFmtId="44" fontId="32" fillId="9" borderId="0" xfId="4" applyFont="1" applyFill="1" applyBorder="1" applyAlignment="1" applyProtection="1">
      <alignment vertical="center" wrapText="1"/>
    </xf>
    <xf numFmtId="44" fontId="32" fillId="0" borderId="0" xfId="4" applyFont="1" applyFill="1" applyBorder="1" applyAlignment="1" applyProtection="1">
      <alignment horizontal="center" vertical="center" wrapText="1"/>
    </xf>
    <xf numFmtId="0" fontId="31" fillId="0" borderId="6" xfId="0" applyFont="1" applyBorder="1" applyAlignment="1">
      <alignment horizontal="center" vertical="center" wrapText="1"/>
    </xf>
    <xf numFmtId="0" fontId="31" fillId="0" borderId="6" xfId="0" applyFont="1" applyBorder="1" applyAlignment="1">
      <alignment horizontal="left" vertical="center" wrapText="1"/>
    </xf>
    <xf numFmtId="0" fontId="11" fillId="7" borderId="6" xfId="0" applyFont="1" applyFill="1" applyBorder="1" applyAlignment="1">
      <alignment horizontal="center" vertical="center" wrapText="1"/>
    </xf>
    <xf numFmtId="2" fontId="11" fillId="0" borderId="6" xfId="0" applyNumberFormat="1" applyFont="1" applyBorder="1" applyAlignment="1">
      <alignment horizontal="center" vertical="center" wrapText="1"/>
    </xf>
    <xf numFmtId="4" fontId="0" fillId="9" borderId="0" xfId="0" applyNumberFormat="1" applyFill="1"/>
    <xf numFmtId="44" fontId="31" fillId="0" borderId="0" xfId="4" applyFont="1" applyBorder="1"/>
    <xf numFmtId="0" fontId="14" fillId="0" borderId="0" xfId="0" applyFont="1"/>
    <xf numFmtId="0" fontId="13" fillId="0" borderId="0" xfId="0" applyFont="1"/>
    <xf numFmtId="0" fontId="14" fillId="9" borderId="10" xfId="0" applyFont="1" applyFill="1" applyBorder="1" applyAlignment="1">
      <alignment horizontal="center" vertical="top" wrapText="1"/>
    </xf>
    <xf numFmtId="0" fontId="14" fillId="9" borderId="11" xfId="0" applyFont="1" applyFill="1" applyBorder="1" applyAlignment="1">
      <alignment horizontal="center" vertical="top" wrapText="1"/>
    </xf>
    <xf numFmtId="0" fontId="14" fillId="9" borderId="12" xfId="0" applyFont="1" applyFill="1" applyBorder="1" applyAlignment="1">
      <alignment horizontal="center" vertical="top" wrapText="1"/>
    </xf>
    <xf numFmtId="0" fontId="14" fillId="0" borderId="11" xfId="0" applyFont="1" applyBorder="1" applyAlignment="1">
      <alignment horizontal="center" vertical="top" wrapText="1"/>
    </xf>
    <xf numFmtId="0" fontId="14" fillId="9" borderId="13" xfId="0" applyFont="1" applyFill="1" applyBorder="1" applyAlignment="1">
      <alignment horizontal="center" vertical="top" wrapText="1"/>
    </xf>
    <xf numFmtId="0" fontId="14" fillId="9" borderId="14" xfId="0" applyFont="1" applyFill="1" applyBorder="1" applyAlignment="1">
      <alignment horizontal="center" vertical="top" wrapText="1"/>
    </xf>
    <xf numFmtId="0" fontId="14" fillId="9" borderId="15" xfId="0" applyFont="1" applyFill="1" applyBorder="1" applyAlignment="1">
      <alignment vertical="top" wrapText="1"/>
    </xf>
    <xf numFmtId="0" fontId="14" fillId="9" borderId="15" xfId="0" applyFont="1" applyFill="1" applyBorder="1" applyAlignment="1">
      <alignment horizontal="center" vertical="top" wrapText="1"/>
    </xf>
    <xf numFmtId="0" fontId="14" fillId="0" borderId="12" xfId="0" applyFont="1" applyBorder="1" applyAlignment="1">
      <alignment horizontal="center" vertical="top" wrapText="1"/>
    </xf>
    <xf numFmtId="0" fontId="14" fillId="0" borderId="16" xfId="0" applyFont="1" applyBorder="1" applyAlignment="1">
      <alignment horizontal="center" vertical="top" wrapText="1"/>
    </xf>
    <xf numFmtId="0" fontId="14" fillId="0" borderId="17" xfId="0" applyFont="1" applyBorder="1" applyAlignment="1">
      <alignment horizontal="center" vertical="top" wrapText="1"/>
    </xf>
    <xf numFmtId="168" fontId="11" fillId="3" borderId="1" xfId="0" applyNumberFormat="1" applyFont="1" applyFill="1" applyBorder="1" applyAlignment="1">
      <alignment horizontal="center" vertical="center" wrapText="1"/>
    </xf>
    <xf numFmtId="168" fontId="11" fillId="3" borderId="4" xfId="0" applyNumberFormat="1" applyFont="1" applyFill="1" applyBorder="1" applyAlignment="1">
      <alignment horizontal="center" vertical="center" wrapText="1"/>
    </xf>
    <xf numFmtId="175" fontId="20" fillId="0" borderId="0" xfId="17" applyNumberFormat="1" applyFont="1"/>
    <xf numFmtId="0" fontId="12" fillId="0" borderId="1" xfId="0" applyFont="1" applyBorder="1" applyAlignment="1">
      <alignment horizontal="left" vertical="center" wrapText="1"/>
    </xf>
    <xf numFmtId="168" fontId="12" fillId="3" borderId="1" xfId="0" applyNumberFormat="1" applyFont="1" applyFill="1" applyBorder="1" applyAlignment="1">
      <alignment horizontal="center" vertical="center" wrapText="1"/>
    </xf>
    <xf numFmtId="44" fontId="12" fillId="3" borderId="1" xfId="0" applyNumberFormat="1" applyFont="1" applyFill="1" applyBorder="1"/>
    <xf numFmtId="44" fontId="12" fillId="3" borderId="1" xfId="4" applyFont="1" applyFill="1" applyBorder="1" applyAlignment="1" applyProtection="1">
      <alignment horizontal="center" vertical="center" wrapText="1"/>
    </xf>
    <xf numFmtId="4" fontId="12" fillId="3" borderId="1" xfId="0" applyNumberFormat="1" applyFont="1" applyFill="1" applyBorder="1" applyAlignment="1">
      <alignment horizontal="center" vertical="center" wrapText="1"/>
    </xf>
    <xf numFmtId="173" fontId="12" fillId="3" borderId="1" xfId="0" applyNumberFormat="1" applyFont="1" applyFill="1" applyBorder="1" applyAlignment="1">
      <alignment horizontal="center" vertical="center" wrapText="1"/>
    </xf>
    <xf numFmtId="0" fontId="5" fillId="0" borderId="0" xfId="0" applyFont="1"/>
    <xf numFmtId="0" fontId="4" fillId="0" borderId="0" xfId="0" applyFont="1"/>
    <xf numFmtId="0" fontId="12" fillId="7" borderId="1" xfId="0" applyFont="1" applyFill="1" applyBorder="1" applyAlignment="1">
      <alignment horizontal="center" vertical="center" wrapText="1"/>
    </xf>
    <xf numFmtId="4" fontId="34" fillId="3" borderId="0" xfId="0" applyNumberFormat="1" applyFont="1" applyFill="1" applyAlignment="1">
      <alignment horizontal="center" vertical="center" wrapText="1"/>
    </xf>
    <xf numFmtId="44" fontId="34" fillId="0" borderId="0" xfId="0" applyNumberFormat="1" applyFont="1" applyAlignment="1">
      <alignment horizontal="center" vertical="center"/>
    </xf>
    <xf numFmtId="0" fontId="6" fillId="4" borderId="0" xfId="0" applyFont="1" applyFill="1" applyAlignment="1">
      <alignment vertical="center"/>
    </xf>
    <xf numFmtId="0" fontId="6" fillId="4" borderId="28" xfId="0" applyFont="1" applyFill="1" applyBorder="1" applyAlignment="1">
      <alignment vertical="center"/>
    </xf>
    <xf numFmtId="0" fontId="6" fillId="4" borderId="0" xfId="0" applyFont="1" applyFill="1"/>
    <xf numFmtId="0" fontId="15" fillId="4" borderId="26" xfId="0" applyFont="1" applyFill="1" applyBorder="1" applyAlignment="1">
      <alignment vertical="center"/>
    </xf>
    <xf numFmtId="0" fontId="15" fillId="10" borderId="19" xfId="0" applyFont="1" applyFill="1" applyBorder="1" applyAlignment="1" applyProtection="1">
      <alignment vertical="center" wrapText="1"/>
      <protection locked="0"/>
    </xf>
    <xf numFmtId="0" fontId="15" fillId="10" borderId="20" xfId="0" applyFont="1" applyFill="1" applyBorder="1" applyAlignment="1" applyProtection="1">
      <alignment vertical="center" wrapText="1"/>
      <protection locked="0"/>
    </xf>
    <xf numFmtId="0" fontId="6" fillId="3" borderId="0" xfId="0" applyFont="1" applyFill="1" applyAlignment="1">
      <alignment horizontal="center"/>
    </xf>
    <xf numFmtId="0" fontId="6" fillId="0" borderId="0" xfId="0" applyFont="1" applyAlignment="1">
      <alignment horizontal="center"/>
    </xf>
    <xf numFmtId="0" fontId="6" fillId="3" borderId="0" xfId="0" applyFont="1" applyFill="1" applyAlignment="1">
      <alignment vertical="center"/>
    </xf>
    <xf numFmtId="0" fontId="6" fillId="0" borderId="0" xfId="0" applyFont="1" applyAlignment="1">
      <alignment vertical="center"/>
    </xf>
    <xf numFmtId="0" fontId="6" fillId="5" borderId="0" xfId="0" applyFont="1" applyFill="1" applyAlignment="1">
      <alignment vertical="center"/>
    </xf>
    <xf numFmtId="0" fontId="15" fillId="11" borderId="0" xfId="0" applyFont="1" applyFill="1" applyAlignment="1">
      <alignment horizontal="center" vertical="center"/>
    </xf>
    <xf numFmtId="0" fontId="15" fillId="5" borderId="0" xfId="0" applyFont="1" applyFill="1" applyAlignment="1">
      <alignment vertical="center"/>
    </xf>
    <xf numFmtId="0" fontId="15" fillId="12" borderId="21" xfId="0" applyFont="1" applyFill="1" applyBorder="1" applyAlignment="1">
      <alignment horizontal="right" vertical="center"/>
    </xf>
    <xf numFmtId="0" fontId="6" fillId="4" borderId="29" xfId="0" applyFont="1" applyFill="1" applyBorder="1" applyAlignment="1">
      <alignment vertical="center"/>
    </xf>
    <xf numFmtId="0" fontId="15" fillId="4" borderId="0" xfId="0" applyFont="1" applyFill="1"/>
    <xf numFmtId="0" fontId="15" fillId="3" borderId="0" xfId="0" applyFont="1" applyFill="1" applyAlignment="1">
      <alignment vertical="center"/>
    </xf>
    <xf numFmtId="0" fontId="15" fillId="12" borderId="21" xfId="0" applyFont="1" applyFill="1" applyBorder="1" applyAlignment="1">
      <alignment vertical="center"/>
    </xf>
    <xf numFmtId="0" fontId="15" fillId="12" borderId="21" xfId="0" applyFont="1" applyFill="1" applyBorder="1" applyAlignment="1">
      <alignment horizontal="center" vertical="center"/>
    </xf>
    <xf numFmtId="0" fontId="15" fillId="12" borderId="21" xfId="0" applyFont="1" applyFill="1" applyBorder="1" applyAlignment="1">
      <alignment horizontal="center" vertical="center" wrapText="1"/>
    </xf>
    <xf numFmtId="10" fontId="6" fillId="0" borderId="30" xfId="0" applyNumberFormat="1" applyFont="1" applyBorder="1" applyAlignment="1">
      <alignment horizontal="center" vertical="center"/>
    </xf>
    <xf numFmtId="0" fontId="6" fillId="0" borderId="31" xfId="0" applyFont="1" applyBorder="1" applyAlignment="1">
      <alignment vertical="center"/>
    </xf>
    <xf numFmtId="10" fontId="15" fillId="4" borderId="5" xfId="0" applyNumberFormat="1" applyFont="1" applyFill="1" applyBorder="1" applyAlignment="1">
      <alignment horizontal="center" vertical="center"/>
    </xf>
    <xf numFmtId="0" fontId="6" fillId="3" borderId="0" xfId="0" applyFont="1" applyFill="1"/>
    <xf numFmtId="0" fontId="6" fillId="0" borderId="0" xfId="0" applyFont="1"/>
    <xf numFmtId="10" fontId="15" fillId="4" borderId="0" xfId="0" applyNumberFormat="1" applyFont="1" applyFill="1" applyAlignment="1">
      <alignment horizontal="center" vertical="center"/>
    </xf>
    <xf numFmtId="0" fontId="15" fillId="4" borderId="28" xfId="0" applyFont="1" applyFill="1" applyBorder="1" applyAlignment="1">
      <alignment vertical="center"/>
    </xf>
    <xf numFmtId="0" fontId="15" fillId="0" borderId="0" xfId="0" applyFont="1" applyAlignment="1">
      <alignment vertical="center"/>
    </xf>
    <xf numFmtId="10" fontId="15" fillId="4" borderId="26" xfId="0" applyNumberFormat="1" applyFont="1" applyFill="1" applyBorder="1" applyAlignment="1">
      <alignment horizontal="center" vertical="center"/>
    </xf>
    <xf numFmtId="0" fontId="15" fillId="4" borderId="29" xfId="0" applyFont="1" applyFill="1" applyBorder="1" applyAlignment="1">
      <alignment vertical="center"/>
    </xf>
    <xf numFmtId="0" fontId="6" fillId="4" borderId="26" xfId="0" applyFont="1" applyFill="1" applyBorder="1" applyAlignment="1">
      <alignment vertical="center"/>
    </xf>
    <xf numFmtId="0" fontId="6" fillId="4" borderId="28" xfId="0" applyFont="1" applyFill="1" applyBorder="1" applyAlignment="1">
      <alignment horizontal="justify" vertical="center" wrapText="1"/>
    </xf>
    <xf numFmtId="10" fontId="15" fillId="4" borderId="28" xfId="0" applyNumberFormat="1" applyFont="1" applyFill="1" applyBorder="1" applyAlignment="1">
      <alignment horizontal="center" vertical="center"/>
    </xf>
    <xf numFmtId="0" fontId="15" fillId="4" borderId="28" xfId="0" applyFont="1" applyFill="1" applyBorder="1" applyAlignment="1">
      <alignment horizontal="justify" vertical="center" wrapText="1"/>
    </xf>
    <xf numFmtId="0" fontId="6" fillId="0" borderId="19" xfId="0" applyFont="1" applyBorder="1" applyAlignment="1">
      <alignment vertical="center"/>
    </xf>
    <xf numFmtId="0" fontId="6" fillId="3" borderId="19" xfId="0" applyFont="1" applyFill="1" applyBorder="1" applyAlignment="1">
      <alignment vertical="center"/>
    </xf>
    <xf numFmtId="0" fontId="6" fillId="0" borderId="20" xfId="0" applyFont="1" applyBorder="1" applyAlignment="1">
      <alignment vertical="center"/>
    </xf>
    <xf numFmtId="0" fontId="6" fillId="3" borderId="20" xfId="0" applyFont="1" applyFill="1" applyBorder="1" applyAlignment="1">
      <alignment vertical="center"/>
    </xf>
    <xf numFmtId="0" fontId="15" fillId="12" borderId="20" xfId="0" applyFont="1" applyFill="1" applyBorder="1" applyAlignment="1">
      <alignment horizontal="center" vertical="center"/>
    </xf>
    <xf numFmtId="10" fontId="15" fillId="0" borderId="28" xfId="0" applyNumberFormat="1" applyFont="1" applyBorder="1" applyAlignment="1">
      <alignment horizontal="center" vertical="center"/>
    </xf>
    <xf numFmtId="0" fontId="15" fillId="4" borderId="29" xfId="0" applyFont="1" applyFill="1" applyBorder="1" applyAlignment="1">
      <alignment horizontal="justify" vertical="center" wrapText="1"/>
    </xf>
    <xf numFmtId="0" fontId="15" fillId="4" borderId="0" xfId="0" applyFont="1" applyFill="1" applyAlignment="1">
      <alignment vertical="center"/>
    </xf>
    <xf numFmtId="0" fontId="6" fillId="3" borderId="0" xfId="0" applyFont="1" applyFill="1" applyAlignment="1">
      <alignment vertical="center" wrapText="1"/>
    </xf>
    <xf numFmtId="0" fontId="6" fillId="0" borderId="0" xfId="0" applyFont="1" applyAlignment="1">
      <alignment vertical="center" wrapText="1"/>
    </xf>
    <xf numFmtId="164" fontId="15" fillId="3" borderId="0" xfId="0" applyNumberFormat="1" applyFont="1" applyFill="1" applyAlignment="1">
      <alignment horizontal="right"/>
    </xf>
    <xf numFmtId="0" fontId="15" fillId="12" borderId="1" xfId="0" applyFont="1" applyFill="1" applyBorder="1" applyAlignment="1">
      <alignment horizontal="center" vertical="center"/>
    </xf>
    <xf numFmtId="0" fontId="15" fillId="4" borderId="1" xfId="0" applyFont="1" applyFill="1" applyBorder="1"/>
    <xf numFmtId="10" fontId="15" fillId="0" borderId="1" xfId="0" applyNumberFormat="1" applyFont="1" applyBorder="1" applyAlignment="1">
      <alignment horizontal="center" vertical="center"/>
    </xf>
    <xf numFmtId="170" fontId="6" fillId="0" borderId="1" xfId="0" applyNumberFormat="1" applyFont="1" applyBorder="1" applyAlignment="1">
      <alignment horizontal="right" vertical="center"/>
    </xf>
    <xf numFmtId="0" fontId="6" fillId="4" borderId="18" xfId="0" applyFont="1" applyFill="1" applyBorder="1" applyAlignment="1">
      <alignment vertical="center"/>
    </xf>
    <xf numFmtId="0" fontId="6" fillId="4" borderId="5" xfId="0" applyFont="1" applyFill="1" applyBorder="1" applyAlignment="1">
      <alignment vertical="center"/>
    </xf>
    <xf numFmtId="0" fontId="6" fillId="4" borderId="20" xfId="0" applyFont="1" applyFill="1" applyBorder="1" applyAlignment="1">
      <alignment vertical="center"/>
    </xf>
    <xf numFmtId="10" fontId="6" fillId="0" borderId="5" xfId="0" applyNumberFormat="1" applyFont="1" applyBorder="1" applyAlignment="1">
      <alignment horizontal="center" vertical="center"/>
    </xf>
    <xf numFmtId="170" fontId="15" fillId="4" borderId="32" xfId="0" applyNumberFormat="1" applyFont="1" applyFill="1" applyBorder="1" applyAlignment="1">
      <alignment vertical="center"/>
    </xf>
    <xf numFmtId="170" fontId="6" fillId="4" borderId="32" xfId="0" applyNumberFormat="1" applyFont="1" applyFill="1" applyBorder="1" applyAlignment="1">
      <alignment vertical="center"/>
    </xf>
    <xf numFmtId="170" fontId="6" fillId="0" borderId="32" xfId="0" applyNumberFormat="1" applyFont="1" applyBorder="1" applyAlignment="1">
      <alignment horizontal="center" vertical="center"/>
    </xf>
    <xf numFmtId="170" fontId="6" fillId="4" borderId="1" xfId="0" applyNumberFormat="1" applyFont="1" applyFill="1" applyBorder="1" applyAlignment="1">
      <alignment vertical="center"/>
    </xf>
    <xf numFmtId="170" fontId="15" fillId="4" borderId="1" xfId="0" applyNumberFormat="1" applyFont="1" applyFill="1" applyBorder="1" applyAlignment="1">
      <alignment vertical="center"/>
    </xf>
    <xf numFmtId="170" fontId="6" fillId="0" borderId="1" xfId="0" applyNumberFormat="1" applyFont="1" applyBorder="1" applyAlignment="1">
      <alignment vertical="center"/>
    </xf>
    <xf numFmtId="170" fontId="15" fillId="13" borderId="1" xfId="0" applyNumberFormat="1" applyFont="1" applyFill="1" applyBorder="1" applyAlignment="1">
      <alignment vertical="center"/>
    </xf>
    <xf numFmtId="44" fontId="6" fillId="0" borderId="1" xfId="0" applyNumberFormat="1" applyFont="1" applyBorder="1" applyAlignment="1">
      <alignment vertical="center"/>
    </xf>
    <xf numFmtId="44" fontId="15" fillId="12" borderId="1" xfId="4" applyFont="1" applyFill="1" applyBorder="1" applyAlignment="1" applyProtection="1">
      <alignment vertical="center"/>
    </xf>
    <xf numFmtId="0" fontId="15" fillId="4" borderId="5" xfId="0" applyFont="1" applyFill="1" applyBorder="1" applyAlignment="1">
      <alignment vertical="center"/>
    </xf>
    <xf numFmtId="0" fontId="6" fillId="5" borderId="20" xfId="0" applyFont="1" applyFill="1" applyBorder="1" applyAlignment="1">
      <alignment vertical="center"/>
    </xf>
    <xf numFmtId="0" fontId="6" fillId="5" borderId="18" xfId="0" applyFont="1" applyFill="1" applyBorder="1" applyAlignment="1">
      <alignment vertical="center"/>
    </xf>
    <xf numFmtId="0" fontId="6" fillId="4" borderId="8" xfId="0" applyFont="1" applyFill="1" applyBorder="1" applyAlignment="1">
      <alignment vertical="center"/>
    </xf>
    <xf numFmtId="0" fontId="6" fillId="4" borderId="19" xfId="0" applyFont="1" applyFill="1" applyBorder="1" applyAlignment="1">
      <alignment vertical="center"/>
    </xf>
    <xf numFmtId="0" fontId="6" fillId="4" borderId="9" xfId="0" applyFont="1" applyFill="1" applyBorder="1" applyAlignment="1">
      <alignment vertical="center"/>
    </xf>
    <xf numFmtId="0" fontId="6" fillId="4" borderId="7" xfId="0" applyFont="1" applyFill="1" applyBorder="1" applyAlignment="1">
      <alignment vertical="center"/>
    </xf>
    <xf numFmtId="0" fontId="6" fillId="4" borderId="21" xfId="0" applyFont="1" applyFill="1" applyBorder="1" applyAlignment="1">
      <alignment vertical="center"/>
    </xf>
    <xf numFmtId="0" fontId="6" fillId="4" borderId="22" xfId="0" applyFont="1" applyFill="1" applyBorder="1" applyAlignment="1">
      <alignment vertical="center"/>
    </xf>
    <xf numFmtId="0" fontId="6" fillId="3" borderId="6" xfId="0" applyFont="1" applyFill="1" applyBorder="1" applyAlignment="1">
      <alignment horizontal="center" vertical="center"/>
    </xf>
    <xf numFmtId="0" fontId="15" fillId="4" borderId="7" xfId="0" applyFont="1" applyFill="1" applyBorder="1" applyAlignment="1">
      <alignment vertical="center"/>
    </xf>
    <xf numFmtId="0" fontId="6" fillId="0" borderId="5" xfId="0" applyFont="1" applyBorder="1" applyAlignment="1">
      <alignment horizontal="left" vertical="center"/>
    </xf>
    <xf numFmtId="0" fontId="15" fillId="4" borderId="18" xfId="0" applyFont="1" applyFill="1" applyBorder="1" applyAlignment="1">
      <alignment vertical="center"/>
    </xf>
    <xf numFmtId="0" fontId="15" fillId="4" borderId="33" xfId="0" applyFont="1" applyFill="1" applyBorder="1" applyAlignment="1">
      <alignment horizontal="center" vertical="center" wrapText="1"/>
    </xf>
    <xf numFmtId="44" fontId="15" fillId="4" borderId="1" xfId="0" applyNumberFormat="1" applyFont="1" applyFill="1" applyBorder="1" applyAlignment="1">
      <alignment vertical="center"/>
    </xf>
    <xf numFmtId="0" fontId="6" fillId="0" borderId="29" xfId="0" applyFont="1" applyBorder="1" applyAlignment="1">
      <alignment vertical="center"/>
    </xf>
    <xf numFmtId="10" fontId="15" fillId="4" borderId="29" xfId="0" applyNumberFormat="1" applyFont="1" applyFill="1" applyBorder="1" applyAlignment="1">
      <alignment horizontal="center" vertical="center"/>
    </xf>
    <xf numFmtId="0" fontId="15" fillId="12" borderId="5" xfId="0" applyFont="1" applyFill="1" applyBorder="1" applyAlignment="1">
      <alignment vertical="center"/>
    </xf>
    <xf numFmtId="0" fontId="15" fillId="12" borderId="20" xfId="0" applyFont="1" applyFill="1" applyBorder="1" applyAlignment="1">
      <alignment vertical="center"/>
    </xf>
    <xf numFmtId="0" fontId="15" fillId="12" borderId="18" xfId="0" applyFont="1" applyFill="1" applyBorder="1" applyAlignment="1">
      <alignment vertical="center"/>
    </xf>
    <xf numFmtId="10" fontId="15" fillId="4" borderId="18" xfId="0" applyNumberFormat="1" applyFont="1" applyFill="1" applyBorder="1" applyAlignment="1">
      <alignment horizontal="center" vertical="center"/>
    </xf>
    <xf numFmtId="0" fontId="15" fillId="0" borderId="5" xfId="0" applyFont="1" applyBorder="1" applyAlignment="1">
      <alignment vertical="center"/>
    </xf>
    <xf numFmtId="0" fontId="6" fillId="4" borderId="20" xfId="0" applyFont="1" applyFill="1" applyBorder="1" applyAlignment="1">
      <alignment horizontal="justify" vertical="center" wrapText="1"/>
    </xf>
    <xf numFmtId="0" fontId="15" fillId="4" borderId="20" xfId="0" applyFont="1" applyFill="1" applyBorder="1" applyAlignment="1">
      <alignment horizontal="justify" vertical="center" wrapText="1"/>
    </xf>
    <xf numFmtId="0" fontId="15" fillId="14" borderId="26" xfId="0" applyFont="1" applyFill="1" applyBorder="1" applyAlignment="1">
      <alignment horizontal="center" vertical="center" wrapText="1"/>
    </xf>
    <xf numFmtId="0" fontId="15" fillId="0" borderId="30" xfId="0" applyFont="1" applyBorder="1" applyAlignment="1">
      <alignment vertical="center"/>
    </xf>
    <xf numFmtId="0" fontId="15" fillId="4" borderId="34" xfId="0" applyFont="1" applyFill="1" applyBorder="1" applyAlignment="1">
      <alignment vertical="center"/>
    </xf>
    <xf numFmtId="0" fontId="15" fillId="4" borderId="35" xfId="0" applyFont="1" applyFill="1" applyBorder="1" applyAlignment="1">
      <alignment vertical="center"/>
    </xf>
    <xf numFmtId="0" fontId="15" fillId="12" borderId="36" xfId="0" applyFont="1" applyFill="1" applyBorder="1" applyAlignment="1">
      <alignment vertical="center"/>
    </xf>
    <xf numFmtId="0" fontId="15" fillId="0" borderId="37" xfId="0" applyFont="1" applyBorder="1" applyAlignment="1">
      <alignment vertical="center"/>
    </xf>
    <xf numFmtId="0" fontId="6" fillId="5" borderId="28" xfId="0" applyFont="1" applyFill="1" applyBorder="1" applyAlignment="1">
      <alignment horizontal="justify" vertical="center" wrapText="1"/>
    </xf>
    <xf numFmtId="0" fontId="15" fillId="5" borderId="20" xfId="0" applyFont="1" applyFill="1" applyBorder="1" applyAlignment="1">
      <alignment horizontal="justify" vertical="center" wrapText="1"/>
    </xf>
    <xf numFmtId="10" fontId="15" fillId="11" borderId="1" xfId="10" applyNumberFormat="1" applyFont="1" applyFill="1" applyBorder="1" applyAlignment="1" applyProtection="1">
      <alignment horizontal="center" vertical="center"/>
    </xf>
    <xf numFmtId="10" fontId="6" fillId="10" borderId="1" xfId="0" applyNumberFormat="1" applyFont="1" applyFill="1" applyBorder="1" applyAlignment="1" applyProtection="1">
      <alignment horizontal="center" vertical="center"/>
      <protection locked="0"/>
    </xf>
    <xf numFmtId="10" fontId="15" fillId="13" borderId="1" xfId="0" applyNumberFormat="1" applyFont="1" applyFill="1" applyBorder="1" applyAlignment="1">
      <alignment horizontal="center" vertical="center"/>
    </xf>
    <xf numFmtId="0" fontId="15" fillId="0" borderId="20" xfId="0" applyFont="1" applyBorder="1" applyAlignment="1">
      <alignment vertical="center"/>
    </xf>
    <xf numFmtId="0" fontId="15" fillId="3" borderId="5" xfId="0" applyFont="1" applyFill="1" applyBorder="1" applyAlignment="1">
      <alignment vertical="center"/>
    </xf>
    <xf numFmtId="0" fontId="15" fillId="12" borderId="18" xfId="0" applyFont="1" applyFill="1" applyBorder="1" applyAlignment="1">
      <alignment horizontal="center" vertical="center"/>
    </xf>
    <xf numFmtId="0" fontId="6" fillId="4" borderId="38" xfId="0" applyFont="1" applyFill="1" applyBorder="1" applyAlignment="1">
      <alignment vertical="center"/>
    </xf>
    <xf numFmtId="0" fontId="6" fillId="4" borderId="20" xfId="0" applyFont="1" applyFill="1" applyBorder="1"/>
    <xf numFmtId="170" fontId="6" fillId="4" borderId="39" xfId="0" applyNumberFormat="1" applyFont="1" applyFill="1" applyBorder="1" applyAlignment="1">
      <alignment vertical="center"/>
    </xf>
    <xf numFmtId="0" fontId="15" fillId="0" borderId="40" xfId="0" applyFont="1" applyBorder="1" applyAlignment="1">
      <alignment vertical="center"/>
    </xf>
    <xf numFmtId="0" fontId="6" fillId="4" borderId="29" xfId="0" applyFont="1" applyFill="1" applyBorder="1" applyAlignment="1">
      <alignment horizontal="justify" vertical="center" wrapText="1"/>
    </xf>
    <xf numFmtId="170" fontId="15" fillId="4" borderId="2" xfId="0" applyNumberFormat="1" applyFont="1" applyFill="1" applyBorder="1" applyAlignment="1">
      <alignment vertical="center"/>
    </xf>
    <xf numFmtId="0" fontId="15" fillId="12" borderId="20" xfId="0" applyFont="1" applyFill="1" applyBorder="1" applyAlignment="1">
      <alignment horizontal="center" vertical="center" wrapText="1"/>
    </xf>
    <xf numFmtId="0" fontId="15" fillId="12" borderId="20" xfId="0" applyFont="1" applyFill="1" applyBorder="1" applyAlignment="1">
      <alignment horizontal="right" vertical="center"/>
    </xf>
    <xf numFmtId="0" fontId="15" fillId="4" borderId="37" xfId="0" applyFont="1" applyFill="1" applyBorder="1" applyAlignment="1">
      <alignment vertical="center"/>
    </xf>
    <xf numFmtId="170" fontId="15" fillId="4" borderId="4" xfId="0" applyNumberFormat="1" applyFont="1" applyFill="1" applyBorder="1" applyAlignment="1">
      <alignment vertical="center"/>
    </xf>
    <xf numFmtId="10" fontId="15" fillId="0" borderId="26" xfId="0" applyNumberFormat="1" applyFont="1" applyBorder="1" applyAlignment="1">
      <alignment horizontal="center" vertical="center"/>
    </xf>
    <xf numFmtId="170" fontId="15" fillId="0" borderId="4" xfId="0" applyNumberFormat="1" applyFont="1" applyBorder="1" applyAlignment="1">
      <alignment vertical="center"/>
    </xf>
    <xf numFmtId="10" fontId="15" fillId="0" borderId="41" xfId="0" applyNumberFormat="1" applyFont="1" applyBorder="1" applyAlignment="1">
      <alignment horizontal="center" vertical="center"/>
    </xf>
    <xf numFmtId="170" fontId="6" fillId="4" borderId="4" xfId="0" applyNumberFormat="1" applyFont="1" applyFill="1" applyBorder="1" applyAlignment="1">
      <alignment vertical="center"/>
    </xf>
    <xf numFmtId="0" fontId="6" fillId="5" borderId="20" xfId="0" applyFont="1" applyFill="1" applyBorder="1" applyAlignment="1">
      <alignment horizontal="justify" vertical="center" wrapText="1"/>
    </xf>
    <xf numFmtId="0" fontId="15" fillId="0" borderId="36" xfId="0" applyFont="1" applyBorder="1" applyAlignment="1">
      <alignment vertical="center"/>
    </xf>
    <xf numFmtId="0" fontId="15" fillId="12" borderId="18" xfId="0" applyFont="1" applyFill="1" applyBorder="1" applyAlignment="1">
      <alignment horizontal="center" vertical="center" wrapText="1"/>
    </xf>
    <xf numFmtId="0" fontId="15" fillId="4" borderId="26" xfId="0" applyFont="1" applyFill="1" applyBorder="1"/>
    <xf numFmtId="0" fontId="15" fillId="12" borderId="39" xfId="0" applyFont="1" applyFill="1" applyBorder="1" applyAlignment="1">
      <alignment horizontal="center" vertical="center"/>
    </xf>
    <xf numFmtId="0" fontId="15" fillId="12" borderId="7" xfId="0" applyFont="1" applyFill="1" applyBorder="1" applyAlignment="1">
      <alignment vertical="center"/>
    </xf>
    <xf numFmtId="0" fontId="6" fillId="4" borderId="19" xfId="0" applyFont="1" applyFill="1" applyBorder="1"/>
    <xf numFmtId="10" fontId="15" fillId="4" borderId="8" xfId="0" applyNumberFormat="1" applyFont="1" applyFill="1" applyBorder="1" applyAlignment="1">
      <alignment horizontal="center" vertical="center"/>
    </xf>
    <xf numFmtId="170" fontId="15" fillId="4" borderId="42" xfId="0" applyNumberFormat="1" applyFont="1" applyFill="1" applyBorder="1" applyAlignment="1">
      <alignment vertical="center"/>
    </xf>
    <xf numFmtId="0" fontId="15" fillId="12" borderId="22" xfId="0" applyFont="1" applyFill="1" applyBorder="1" applyAlignment="1">
      <alignment horizontal="center" vertical="center"/>
    </xf>
    <xf numFmtId="0" fontId="15" fillId="12" borderId="43" xfId="0" applyFont="1" applyFill="1" applyBorder="1" applyAlignment="1">
      <alignment horizontal="center" vertical="center" wrapText="1"/>
    </xf>
    <xf numFmtId="0" fontId="6" fillId="4" borderId="5" xfId="0" applyFont="1" applyFill="1" applyBorder="1"/>
    <xf numFmtId="0" fontId="15" fillId="4" borderId="20" xfId="0" applyFont="1" applyFill="1" applyBorder="1" applyAlignment="1">
      <alignment vertical="center"/>
    </xf>
    <xf numFmtId="0" fontId="15" fillId="11" borderId="5" xfId="0" applyFont="1" applyFill="1" applyBorder="1" applyAlignment="1">
      <alignment horizontal="center" vertical="center"/>
    </xf>
    <xf numFmtId="0" fontId="15" fillId="11" borderId="39" xfId="0" applyFont="1" applyFill="1" applyBorder="1" applyAlignment="1">
      <alignment horizontal="center" vertical="center"/>
    </xf>
    <xf numFmtId="0" fontId="15" fillId="11" borderId="42" xfId="0" applyFont="1" applyFill="1" applyBorder="1" applyAlignment="1">
      <alignment horizontal="center" vertical="center"/>
    </xf>
    <xf numFmtId="0" fontId="15" fillId="3" borderId="3" xfId="0" applyFont="1" applyFill="1" applyBorder="1" applyAlignment="1">
      <alignment vertical="center"/>
    </xf>
    <xf numFmtId="170" fontId="15" fillId="4" borderId="44" xfId="0" applyNumberFormat="1" applyFont="1" applyFill="1" applyBorder="1" applyAlignment="1">
      <alignment vertical="center"/>
    </xf>
    <xf numFmtId="0" fontId="6" fillId="4" borderId="26" xfId="0" applyFont="1" applyFill="1" applyBorder="1"/>
    <xf numFmtId="0" fontId="15" fillId="0" borderId="45" xfId="0" applyFont="1" applyBorder="1" applyAlignment="1">
      <alignment vertical="center"/>
    </xf>
    <xf numFmtId="0" fontId="15" fillId="4" borderId="9" xfId="0" applyFont="1" applyFill="1" applyBorder="1"/>
    <xf numFmtId="0" fontId="15" fillId="3" borderId="23" xfId="0" applyFont="1" applyFill="1" applyBorder="1" applyAlignment="1">
      <alignment vertical="center"/>
    </xf>
    <xf numFmtId="0" fontId="15" fillId="11" borderId="4" xfId="0" applyFont="1" applyFill="1" applyBorder="1" applyAlignment="1">
      <alignment horizontal="center" vertical="center"/>
    </xf>
    <xf numFmtId="0" fontId="15" fillId="5" borderId="5" xfId="0" applyFont="1" applyFill="1" applyBorder="1" applyAlignment="1">
      <alignment vertical="center"/>
    </xf>
    <xf numFmtId="10" fontId="6" fillId="4" borderId="18" xfId="0" applyNumberFormat="1" applyFont="1" applyFill="1" applyBorder="1" applyAlignment="1">
      <alignment horizontal="center" vertical="center"/>
    </xf>
    <xf numFmtId="10" fontId="6" fillId="4" borderId="9" xfId="0" applyNumberFormat="1" applyFont="1" applyFill="1" applyBorder="1" applyAlignment="1">
      <alignment horizontal="center" vertical="center"/>
    </xf>
    <xf numFmtId="170" fontId="15" fillId="3" borderId="1" xfId="0" applyNumberFormat="1" applyFont="1" applyFill="1" applyBorder="1" applyAlignment="1" applyProtection="1">
      <alignment vertical="center"/>
      <protection locked="0"/>
    </xf>
    <xf numFmtId="170" fontId="15" fillId="3" borderId="1" xfId="0" applyNumberFormat="1" applyFont="1" applyFill="1" applyBorder="1" applyAlignment="1" applyProtection="1">
      <alignment horizontal="right" vertical="center"/>
      <protection locked="0"/>
    </xf>
    <xf numFmtId="0" fontId="15" fillId="12" borderId="5" xfId="0" applyFont="1" applyFill="1" applyBorder="1" applyAlignment="1">
      <alignment horizontal="center" vertical="center"/>
    </xf>
    <xf numFmtId="170" fontId="15" fillId="4" borderId="46" xfId="0" applyNumberFormat="1" applyFont="1" applyFill="1" applyBorder="1" applyAlignment="1">
      <alignment vertical="center"/>
    </xf>
    <xf numFmtId="170" fontId="6" fillId="0" borderId="41" xfId="0" applyNumberFormat="1" applyFont="1" applyBorder="1" applyAlignment="1">
      <alignment vertical="center"/>
    </xf>
    <xf numFmtId="0" fontId="15" fillId="12" borderId="1" xfId="0" applyFont="1" applyFill="1" applyBorder="1" applyAlignment="1">
      <alignment horizontal="right" vertical="center"/>
    </xf>
    <xf numFmtId="170" fontId="6" fillId="0" borderId="39" xfId="0" applyNumberFormat="1" applyFont="1" applyBorder="1" applyAlignment="1">
      <alignment vertical="center"/>
    </xf>
    <xf numFmtId="170" fontId="6" fillId="0" borderId="44" xfId="0" applyNumberFormat="1" applyFont="1" applyBorder="1" applyAlignment="1">
      <alignment vertical="center"/>
    </xf>
    <xf numFmtId="170" fontId="6" fillId="0" borderId="32" xfId="0" applyNumberFormat="1" applyFont="1" applyBorder="1" applyAlignment="1">
      <alignment vertical="center"/>
    </xf>
    <xf numFmtId="0" fontId="15" fillId="11" borderId="1" xfId="0" applyFont="1" applyFill="1" applyBorder="1" applyAlignment="1">
      <alignment horizontal="center" vertical="center"/>
    </xf>
    <xf numFmtId="170" fontId="6" fillId="0" borderId="46" xfId="0" applyNumberFormat="1" applyFont="1" applyBorder="1" applyAlignment="1">
      <alignment vertical="center"/>
    </xf>
    <xf numFmtId="10" fontId="15" fillId="0" borderId="29" xfId="0" applyNumberFormat="1" applyFont="1" applyBorder="1" applyAlignment="1">
      <alignment horizontal="center" vertical="center"/>
    </xf>
    <xf numFmtId="0" fontId="15" fillId="11" borderId="2" xfId="0" applyFont="1" applyFill="1" applyBorder="1" applyAlignment="1">
      <alignment horizontal="center" vertical="center"/>
    </xf>
    <xf numFmtId="10" fontId="15" fillId="0" borderId="47" xfId="0" applyNumberFormat="1" applyFont="1" applyBorder="1" applyAlignment="1">
      <alignment horizontal="center" vertical="center"/>
    </xf>
    <xf numFmtId="0" fontId="10" fillId="0" borderId="1" xfId="0" applyFont="1" applyBorder="1" applyAlignment="1">
      <alignment horizontal="center" vertical="center"/>
    </xf>
    <xf numFmtId="0" fontId="15" fillId="12" borderId="1" xfId="0" applyFont="1" applyFill="1" applyBorder="1" applyAlignment="1">
      <alignment horizontal="center" vertical="center" wrapText="1"/>
    </xf>
    <xf numFmtId="0" fontId="15" fillId="11" borderId="32" xfId="0" applyFont="1" applyFill="1" applyBorder="1" applyAlignment="1">
      <alignment horizontal="center" vertical="center"/>
    </xf>
    <xf numFmtId="0" fontId="6" fillId="5" borderId="0" xfId="0" applyFont="1" applyFill="1" applyAlignment="1">
      <alignment horizontal="justify" vertical="center" wrapText="1"/>
    </xf>
    <xf numFmtId="0" fontId="6" fillId="4" borderId="26" xfId="0" applyFont="1" applyFill="1" applyBorder="1" applyAlignment="1">
      <alignment vertical="center" wrapText="1"/>
    </xf>
    <xf numFmtId="0" fontId="6" fillId="4" borderId="28" xfId="0" applyFont="1" applyFill="1" applyBorder="1" applyAlignment="1">
      <alignment horizontal="centerContinuous" vertical="center" wrapText="1"/>
    </xf>
    <xf numFmtId="0" fontId="6" fillId="4" borderId="46" xfId="0" applyFont="1" applyFill="1" applyBorder="1" applyAlignment="1">
      <alignment horizontal="fill" vertical="center" wrapText="1"/>
    </xf>
    <xf numFmtId="0" fontId="6" fillId="4" borderId="28" xfId="0" applyFont="1" applyFill="1" applyBorder="1" applyAlignment="1">
      <alignment horizontal="fill" vertical="center" wrapText="1"/>
    </xf>
    <xf numFmtId="10" fontId="6" fillId="5" borderId="28" xfId="0" applyNumberFormat="1" applyFont="1" applyFill="1" applyBorder="1" applyAlignment="1" applyProtection="1">
      <alignment horizontal="center" vertical="center"/>
      <protection locked="0"/>
    </xf>
    <xf numFmtId="10" fontId="6" fillId="3" borderId="39" xfId="0" applyNumberFormat="1" applyFont="1" applyFill="1" applyBorder="1" applyAlignment="1">
      <alignment horizontal="center" vertical="center"/>
    </xf>
    <xf numFmtId="170" fontId="6" fillId="0" borderId="48" xfId="0" applyNumberFormat="1" applyFont="1" applyBorder="1" applyAlignment="1">
      <alignment vertical="center"/>
    </xf>
    <xf numFmtId="0" fontId="6" fillId="4" borderId="0" xfId="0" applyFont="1" applyFill="1" applyAlignment="1">
      <alignment horizontal="justify" vertical="center" wrapText="1"/>
    </xf>
    <xf numFmtId="0" fontId="15" fillId="5" borderId="26" xfId="0" applyFont="1" applyFill="1" applyBorder="1"/>
    <xf numFmtId="10" fontId="15" fillId="3" borderId="29" xfId="0" applyNumberFormat="1" applyFont="1" applyFill="1" applyBorder="1" applyAlignment="1">
      <alignment horizontal="right" vertical="center"/>
    </xf>
    <xf numFmtId="0" fontId="15" fillId="12" borderId="19" xfId="0" applyFont="1" applyFill="1" applyBorder="1" applyAlignment="1">
      <alignment vertical="center"/>
    </xf>
    <xf numFmtId="0" fontId="15" fillId="12" borderId="19" xfId="0" applyFont="1" applyFill="1" applyBorder="1" applyAlignment="1">
      <alignment horizontal="center" vertical="center"/>
    </xf>
    <xf numFmtId="0" fontId="15" fillId="12" borderId="9" xfId="0" applyFont="1" applyFill="1" applyBorder="1" applyAlignment="1">
      <alignment horizontal="center" vertical="center"/>
    </xf>
    <xf numFmtId="10" fontId="6" fillId="4" borderId="26" xfId="0" applyNumberFormat="1" applyFont="1" applyFill="1" applyBorder="1"/>
    <xf numFmtId="0" fontId="6" fillId="4" borderId="20" xfId="0" applyFont="1" applyFill="1" applyBorder="1" applyAlignment="1">
      <alignment horizontal="right"/>
    </xf>
    <xf numFmtId="10" fontId="15" fillId="3" borderId="18" xfId="0" applyNumberFormat="1" applyFont="1" applyFill="1" applyBorder="1" applyAlignment="1" applyProtection="1">
      <alignment horizontal="right" vertical="center"/>
      <protection locked="0"/>
    </xf>
    <xf numFmtId="0" fontId="15" fillId="0" borderId="7" xfId="0" applyFont="1" applyBorder="1" applyAlignment="1">
      <alignment vertical="center"/>
    </xf>
    <xf numFmtId="0" fontId="6" fillId="4" borderId="0" xfId="0" applyFont="1" applyFill="1" applyAlignment="1">
      <alignment horizontal="right" vertical="center"/>
    </xf>
    <xf numFmtId="170" fontId="6" fillId="5" borderId="1" xfId="0" applyNumberFormat="1" applyFont="1" applyFill="1" applyBorder="1" applyAlignment="1">
      <alignment vertical="center"/>
    </xf>
    <xf numFmtId="170" fontId="6" fillId="5" borderId="2" xfId="0" applyNumberFormat="1" applyFont="1" applyFill="1" applyBorder="1" applyAlignment="1">
      <alignment vertical="center"/>
    </xf>
    <xf numFmtId="176" fontId="15" fillId="3" borderId="49" xfId="17" applyNumberFormat="1" applyFont="1" applyFill="1" applyBorder="1" applyAlignment="1" applyProtection="1">
      <alignment horizontal="center" vertical="center"/>
    </xf>
    <xf numFmtId="176" fontId="15" fillId="3" borderId="50" xfId="17" applyNumberFormat="1" applyFont="1" applyFill="1" applyBorder="1" applyAlignment="1" applyProtection="1">
      <alignment horizontal="center" vertical="center"/>
      <protection locked="0"/>
    </xf>
    <xf numFmtId="176" fontId="15" fillId="3" borderId="51" xfId="17" applyNumberFormat="1" applyFont="1" applyFill="1" applyBorder="1" applyAlignment="1" applyProtection="1">
      <protection locked="0"/>
    </xf>
    <xf numFmtId="0" fontId="15" fillId="10" borderId="52" xfId="0" applyFont="1" applyFill="1" applyBorder="1" applyAlignment="1" applyProtection="1">
      <alignment vertical="center" wrapText="1"/>
      <protection locked="0"/>
    </xf>
    <xf numFmtId="10" fontId="15" fillId="10" borderId="46" xfId="0" applyNumberFormat="1" applyFont="1" applyFill="1" applyBorder="1" applyAlignment="1" applyProtection="1">
      <alignment horizontal="center" vertical="center"/>
      <protection locked="0"/>
    </xf>
    <xf numFmtId="0" fontId="15" fillId="11" borderId="29" xfId="0" applyFont="1" applyFill="1" applyBorder="1" applyAlignment="1">
      <alignment horizontal="centerContinuous" vertical="center"/>
    </xf>
    <xf numFmtId="0" fontId="15" fillId="11" borderId="8" xfId="0" applyFont="1" applyFill="1" applyBorder="1" applyAlignment="1">
      <alignment horizontal="centerContinuous" vertical="center"/>
    </xf>
    <xf numFmtId="166" fontId="6" fillId="11" borderId="1" xfId="0" applyNumberFormat="1" applyFont="1" applyFill="1" applyBorder="1" applyAlignment="1" applyProtection="1">
      <alignment horizontal="center" vertical="center"/>
      <protection locked="0"/>
    </xf>
    <xf numFmtId="10" fontId="6" fillId="3" borderId="53" xfId="0" applyNumberFormat="1" applyFont="1" applyFill="1" applyBorder="1" applyAlignment="1">
      <alignment horizontal="center" vertical="center"/>
    </xf>
    <xf numFmtId="10" fontId="6" fillId="10" borderId="53" xfId="0" applyNumberFormat="1" applyFont="1" applyFill="1" applyBorder="1" applyAlignment="1" applyProtection="1">
      <alignment horizontal="center" vertical="center"/>
      <protection locked="0"/>
    </xf>
    <xf numFmtId="10" fontId="15" fillId="10" borderId="53" xfId="0" applyNumberFormat="1" applyFont="1" applyFill="1" applyBorder="1" applyAlignment="1" applyProtection="1">
      <alignment horizontal="center" vertical="center"/>
      <protection locked="0"/>
    </xf>
    <xf numFmtId="10" fontId="15" fillId="10" borderId="54" xfId="0" applyNumberFormat="1" applyFont="1" applyFill="1" applyBorder="1" applyAlignment="1" applyProtection="1">
      <alignment horizontal="center" vertical="center"/>
      <protection locked="0"/>
    </xf>
    <xf numFmtId="14" fontId="16" fillId="0" borderId="0" xfId="0" applyNumberFormat="1" applyFont="1" applyAlignment="1">
      <alignment vertical="center"/>
    </xf>
    <xf numFmtId="0" fontId="16" fillId="12" borderId="1" xfId="0" applyFont="1" applyFill="1" applyBorder="1" applyAlignment="1">
      <alignment horizontal="center" vertical="center"/>
    </xf>
    <xf numFmtId="0" fontId="6" fillId="0" borderId="5" xfId="0" applyFont="1" applyBorder="1" applyAlignment="1">
      <alignment vertical="center"/>
    </xf>
    <xf numFmtId="0" fontId="6" fillId="3" borderId="5" xfId="0" applyFont="1" applyFill="1" applyBorder="1" applyAlignment="1">
      <alignment vertical="center"/>
    </xf>
    <xf numFmtId="0" fontId="6" fillId="3" borderId="18" xfId="0" applyFont="1" applyFill="1" applyBorder="1" applyAlignment="1">
      <alignment vertical="center"/>
    </xf>
    <xf numFmtId="0" fontId="6" fillId="3" borderId="5" xfId="0" applyFont="1" applyFill="1" applyBorder="1" applyAlignment="1">
      <alignment horizontal="left" vertical="center"/>
    </xf>
    <xf numFmtId="0" fontId="6" fillId="3" borderId="20" xfId="0" applyFont="1" applyFill="1" applyBorder="1" applyAlignment="1">
      <alignment horizontal="left" vertical="center"/>
    </xf>
    <xf numFmtId="0" fontId="9" fillId="3" borderId="3" xfId="0" applyFont="1" applyFill="1" applyBorder="1" applyAlignment="1" applyProtection="1">
      <alignment vertical="center"/>
      <protection locked="0"/>
    </xf>
    <xf numFmtId="0" fontId="9" fillId="3" borderId="0" xfId="0" applyFont="1" applyFill="1" applyAlignment="1" applyProtection="1">
      <alignment vertical="center"/>
      <protection locked="0"/>
    </xf>
    <xf numFmtId="170" fontId="6" fillId="0" borderId="28" xfId="0" applyNumberFormat="1" applyFont="1" applyBorder="1" applyAlignment="1">
      <alignment vertical="center"/>
    </xf>
    <xf numFmtId="170" fontId="6" fillId="0" borderId="40" xfId="0" applyNumberFormat="1" applyFont="1" applyBorder="1" applyAlignment="1">
      <alignment vertical="center"/>
    </xf>
    <xf numFmtId="170" fontId="15" fillId="4" borderId="18" xfId="0" applyNumberFormat="1" applyFont="1" applyFill="1" applyBorder="1" applyAlignment="1">
      <alignment vertical="center"/>
    </xf>
    <xf numFmtId="170" fontId="15" fillId="4" borderId="0" xfId="0" applyNumberFormat="1" applyFont="1" applyFill="1" applyAlignment="1">
      <alignment vertical="center"/>
    </xf>
    <xf numFmtId="170" fontId="6" fillId="0" borderId="18" xfId="0" applyNumberFormat="1" applyFont="1" applyBorder="1" applyAlignment="1">
      <alignment vertical="center"/>
    </xf>
    <xf numFmtId="170" fontId="15" fillId="3" borderId="18" xfId="0" applyNumberFormat="1" applyFont="1" applyFill="1" applyBorder="1" applyAlignment="1" applyProtection="1">
      <alignment vertical="center"/>
      <protection locked="0"/>
    </xf>
    <xf numFmtId="0" fontId="6" fillId="3" borderId="18" xfId="0" applyFont="1" applyFill="1" applyBorder="1" applyAlignment="1">
      <alignment horizontal="left" vertical="center"/>
    </xf>
    <xf numFmtId="0" fontId="10" fillId="3" borderId="5" xfId="0" applyFont="1" applyFill="1" applyBorder="1" applyAlignment="1">
      <alignment vertical="center"/>
    </xf>
    <xf numFmtId="0" fontId="6" fillId="3" borderId="20" xfId="0" applyFont="1" applyFill="1" applyBorder="1" applyAlignment="1">
      <alignment horizontal="center"/>
    </xf>
    <xf numFmtId="0" fontId="6" fillId="3" borderId="20" xfId="0" applyFont="1" applyFill="1" applyBorder="1" applyAlignment="1">
      <alignment horizontal="center" vertical="center"/>
    </xf>
    <xf numFmtId="0" fontId="10" fillId="3" borderId="1" xfId="0" applyFont="1" applyFill="1" applyBorder="1" applyAlignment="1">
      <alignment horizontal="left" vertical="center"/>
    </xf>
    <xf numFmtId="0" fontId="10" fillId="3" borderId="5" xfId="0" applyFont="1" applyFill="1" applyBorder="1" applyAlignment="1">
      <alignment horizontal="left" vertical="center"/>
    </xf>
    <xf numFmtId="0" fontId="15" fillId="3" borderId="20" xfId="0" applyFont="1" applyFill="1" applyBorder="1" applyAlignment="1">
      <alignment horizontal="fill" vertical="center"/>
    </xf>
    <xf numFmtId="0" fontId="6" fillId="3" borderId="0" xfId="0" applyFont="1" applyFill="1" applyAlignment="1">
      <alignment horizontal="center" vertical="center"/>
    </xf>
    <xf numFmtId="14" fontId="35" fillId="3" borderId="0" xfId="0" applyNumberFormat="1" applyFont="1" applyFill="1" applyAlignment="1" applyProtection="1">
      <alignment horizontal="centerContinuous" vertical="center"/>
      <protection hidden="1"/>
    </xf>
    <xf numFmtId="0" fontId="36" fillId="3" borderId="0" xfId="0" applyFont="1" applyFill="1" applyAlignment="1" applyProtection="1">
      <alignment horizontal="centerContinuous" vertical="center"/>
      <protection hidden="1"/>
    </xf>
    <xf numFmtId="0" fontId="15" fillId="3" borderId="0" xfId="0" applyFont="1" applyFill="1" applyAlignment="1">
      <alignment horizontal="centerContinuous" vertical="center"/>
    </xf>
    <xf numFmtId="0" fontId="15" fillId="3" borderId="20" xfId="0" applyFont="1" applyFill="1" applyBorder="1" applyAlignment="1">
      <alignment vertical="center"/>
    </xf>
    <xf numFmtId="170" fontId="6" fillId="0" borderId="2" xfId="0" applyNumberFormat="1" applyFont="1" applyBorder="1" applyAlignment="1">
      <alignment vertical="center"/>
    </xf>
    <xf numFmtId="0" fontId="15" fillId="12" borderId="2" xfId="0" applyFont="1" applyFill="1" applyBorder="1" applyAlignment="1">
      <alignment horizontal="center" vertical="center"/>
    </xf>
    <xf numFmtId="10" fontId="15" fillId="0" borderId="0" xfId="0" applyNumberFormat="1" applyFont="1" applyAlignment="1">
      <alignment horizontal="right" vertical="center"/>
    </xf>
    <xf numFmtId="0" fontId="6" fillId="4" borderId="18" xfId="0" applyFont="1" applyFill="1" applyBorder="1" applyAlignment="1">
      <alignment horizontal="right" vertical="center"/>
    </xf>
    <xf numFmtId="0" fontId="15" fillId="3" borderId="19" xfId="0" applyFont="1" applyFill="1" applyBorder="1" applyAlignment="1">
      <alignment vertical="center"/>
    </xf>
    <xf numFmtId="0" fontId="6" fillId="3" borderId="29" xfId="0" applyFont="1" applyFill="1" applyBorder="1" applyAlignment="1">
      <alignment vertical="center"/>
    </xf>
    <xf numFmtId="0" fontId="18" fillId="12" borderId="1" xfId="0" applyFont="1" applyFill="1" applyBorder="1" applyAlignment="1">
      <alignment horizontal="center" vertical="center"/>
    </xf>
    <xf numFmtId="10" fontId="15" fillId="0" borderId="50" xfId="0" applyNumberFormat="1" applyFont="1" applyBorder="1" applyAlignment="1">
      <alignment horizontal="center" vertical="center"/>
    </xf>
    <xf numFmtId="10" fontId="15" fillId="0" borderId="49" xfId="0" applyNumberFormat="1" applyFont="1" applyBorder="1" applyAlignment="1">
      <alignment horizontal="center" vertical="center"/>
    </xf>
    <xf numFmtId="10" fontId="15" fillId="4" borderId="51" xfId="0" applyNumberFormat="1" applyFont="1" applyFill="1" applyBorder="1" applyAlignment="1">
      <alignment horizontal="center" vertical="center"/>
    </xf>
    <xf numFmtId="0" fontId="38" fillId="0" borderId="0" xfId="0" applyFont="1" applyAlignment="1">
      <alignment vertical="center"/>
    </xf>
    <xf numFmtId="0" fontId="39" fillId="0" borderId="0" xfId="0" applyFont="1" applyAlignment="1">
      <alignment vertical="center"/>
    </xf>
    <xf numFmtId="43" fontId="40" fillId="9" borderId="59" xfId="0" applyNumberFormat="1" applyFont="1" applyFill="1" applyBorder="1" applyAlignment="1">
      <alignment vertical="center" wrapText="1"/>
    </xf>
    <xf numFmtId="43" fontId="40" fillId="9" borderId="59" xfId="0" applyNumberFormat="1" applyFont="1" applyFill="1" applyBorder="1" applyAlignment="1">
      <alignment horizontal="center" vertical="center"/>
    </xf>
    <xf numFmtId="0" fontId="41" fillId="9" borderId="59" xfId="0" applyFont="1" applyFill="1" applyBorder="1" applyAlignment="1">
      <alignment horizontal="center" vertical="center"/>
    </xf>
    <xf numFmtId="0" fontId="42" fillId="2" borderId="59" xfId="0" applyFont="1" applyFill="1" applyBorder="1" applyAlignment="1">
      <alignment horizontal="center" vertical="center" wrapText="1"/>
    </xf>
    <xf numFmtId="0" fontId="42" fillId="2" borderId="59" xfId="0" applyFont="1" applyFill="1" applyBorder="1" applyAlignment="1">
      <alignment vertical="center" wrapText="1"/>
    </xf>
    <xf numFmtId="0" fontId="38" fillId="0" borderId="59" xfId="0" applyFont="1" applyBorder="1" applyAlignment="1">
      <alignment vertical="center"/>
    </xf>
    <xf numFmtId="10" fontId="42" fillId="2" borderId="59" xfId="10" applyNumberFormat="1" applyFont="1" applyFill="1" applyBorder="1" applyAlignment="1">
      <alignment horizontal="center" vertical="center"/>
    </xf>
    <xf numFmtId="0" fontId="38" fillId="0" borderId="59" xfId="0" applyFont="1" applyBorder="1" applyAlignment="1">
      <alignment vertical="center" wrapText="1"/>
    </xf>
    <xf numFmtId="0" fontId="40" fillId="9" borderId="59" xfId="0" applyFont="1" applyFill="1" applyBorder="1" applyAlignment="1">
      <alignment vertical="center" wrapText="1"/>
    </xf>
    <xf numFmtId="10" fontId="40" fillId="9" borderId="59" xfId="10" applyNumberFormat="1" applyFont="1" applyFill="1" applyBorder="1" applyAlignment="1">
      <alignment horizontal="center" vertical="center" wrapText="1"/>
    </xf>
    <xf numFmtId="0" fontId="40" fillId="2" borderId="0" xfId="0" applyFont="1" applyFill="1" applyAlignment="1">
      <alignment horizontal="left" vertical="center"/>
    </xf>
    <xf numFmtId="10" fontId="38" fillId="0" borderId="59" xfId="10" applyNumberFormat="1" applyFont="1" applyFill="1" applyBorder="1" applyAlignment="1">
      <alignment horizontal="center" vertical="center"/>
    </xf>
    <xf numFmtId="0" fontId="38" fillId="0" borderId="59" xfId="0" quotePrefix="1" applyFont="1" applyBorder="1" applyAlignment="1">
      <alignment horizontal="center" vertical="center"/>
    </xf>
    <xf numFmtId="0" fontId="40" fillId="2" borderId="0" xfId="0" applyFont="1" applyFill="1" applyAlignment="1">
      <alignment vertical="center" wrapText="1"/>
    </xf>
    <xf numFmtId="0" fontId="40" fillId="9" borderId="59" xfId="0" applyFont="1" applyFill="1" applyBorder="1" applyAlignment="1">
      <alignment horizontal="center" vertical="center" wrapText="1"/>
    </xf>
    <xf numFmtId="0" fontId="38" fillId="3" borderId="59" xfId="0" applyFont="1" applyFill="1" applyBorder="1" applyAlignment="1">
      <alignment horizontal="center" vertical="center"/>
    </xf>
    <xf numFmtId="10" fontId="38" fillId="0" borderId="0" xfId="10" applyNumberFormat="1" applyFont="1" applyAlignment="1">
      <alignment vertical="center"/>
    </xf>
    <xf numFmtId="0" fontId="38" fillId="0" borderId="0" xfId="0" applyFont="1" applyAlignment="1">
      <alignment horizontal="center" vertical="center"/>
    </xf>
    <xf numFmtId="9" fontId="43" fillId="3" borderId="0" xfId="10" applyFont="1" applyFill="1" applyAlignment="1" applyProtection="1">
      <alignment vertical="center"/>
    </xf>
    <xf numFmtId="44" fontId="19" fillId="19" borderId="1" xfId="4" applyFont="1" applyFill="1" applyBorder="1" applyAlignment="1" applyProtection="1">
      <alignment horizontal="center" vertical="center" wrapText="1"/>
    </xf>
    <xf numFmtId="44" fontId="19" fillId="0" borderId="1" xfId="4" applyFont="1" applyFill="1" applyBorder="1" applyAlignment="1" applyProtection="1">
      <alignment horizontal="center" vertical="center" wrapText="1"/>
    </xf>
    <xf numFmtId="0" fontId="38" fillId="0" borderId="0" xfId="0" applyFont="1"/>
    <xf numFmtId="44" fontId="43" fillId="0" borderId="1" xfId="4" applyFont="1" applyFill="1" applyBorder="1" applyAlignment="1" applyProtection="1">
      <alignment horizontal="center" vertical="center" wrapText="1"/>
    </xf>
    <xf numFmtId="178" fontId="19" fillId="16" borderId="26" xfId="17" applyNumberFormat="1" applyFont="1" applyFill="1" applyBorder="1" applyAlignment="1" applyProtection="1">
      <alignment horizontal="center" vertical="center"/>
    </xf>
    <xf numFmtId="179" fontId="43" fillId="16" borderId="26" xfId="17" applyNumberFormat="1" applyFont="1" applyFill="1" applyBorder="1" applyAlignment="1" applyProtection="1">
      <alignment horizontal="center" vertical="center"/>
    </xf>
    <xf numFmtId="44" fontId="43" fillId="0" borderId="0" xfId="4" applyFont="1" applyFill="1" applyBorder="1" applyAlignment="1" applyProtection="1">
      <alignment horizontal="center" vertical="center" wrapText="1"/>
    </xf>
    <xf numFmtId="44" fontId="43" fillId="19" borderId="1" xfId="4" applyFont="1" applyFill="1" applyBorder="1" applyAlignment="1" applyProtection="1">
      <alignment horizontal="center" vertical="center" wrapText="1"/>
    </xf>
    <xf numFmtId="44" fontId="43" fillId="0" borderId="20" xfId="4" applyFont="1" applyFill="1" applyBorder="1" applyAlignment="1" applyProtection="1">
      <alignment horizontal="center" vertical="center" wrapText="1"/>
    </xf>
    <xf numFmtId="44" fontId="19" fillId="16" borderId="0" xfId="4" applyFont="1" applyFill="1" applyBorder="1" applyAlignment="1" applyProtection="1">
      <alignment horizontal="center" vertical="center" wrapText="1"/>
    </xf>
    <xf numFmtId="44" fontId="43" fillId="16" borderId="20" xfId="4" applyFont="1" applyFill="1" applyBorder="1" applyAlignment="1" applyProtection="1">
      <alignment horizontal="center" vertical="center" wrapText="1"/>
    </xf>
    <xf numFmtId="0" fontId="38" fillId="3" borderId="59" xfId="0" applyFont="1" applyFill="1" applyBorder="1" applyAlignment="1">
      <alignment horizontal="left" vertical="center"/>
    </xf>
    <xf numFmtId="10" fontId="38" fillId="2" borderId="59" xfId="10" applyNumberFormat="1" applyFont="1" applyFill="1" applyBorder="1" applyAlignment="1">
      <alignment horizontal="left" vertical="center" wrapText="1"/>
    </xf>
    <xf numFmtId="10" fontId="42" fillId="2" borderId="59" xfId="10" applyNumberFormat="1" applyFont="1" applyFill="1" applyBorder="1" applyAlignment="1">
      <alignment horizontal="left" vertical="center" wrapText="1"/>
    </xf>
    <xf numFmtId="10" fontId="42" fillId="2" borderId="59" xfId="10" applyNumberFormat="1" applyFont="1" applyFill="1" applyBorder="1" applyAlignment="1">
      <alignment horizontal="left" vertical="center"/>
    </xf>
    <xf numFmtId="168" fontId="38" fillId="0" borderId="59" xfId="10" applyNumberFormat="1" applyFont="1" applyFill="1" applyBorder="1" applyAlignment="1">
      <alignment horizontal="center" vertical="center"/>
    </xf>
    <xf numFmtId="9" fontId="43" fillId="22" borderId="1" xfId="10" applyFont="1" applyFill="1" applyBorder="1" applyAlignment="1" applyProtection="1">
      <alignment horizontal="center" vertical="center" wrapText="1"/>
    </xf>
    <xf numFmtId="0" fontId="43" fillId="16" borderId="1" xfId="0" applyFont="1" applyFill="1" applyBorder="1" applyAlignment="1">
      <alignment horizontal="center" vertical="center"/>
    </xf>
    <xf numFmtId="170" fontId="43" fillId="0" borderId="0" xfId="0" applyNumberFormat="1" applyFont="1" applyAlignment="1">
      <alignment horizontal="center" wrapText="1"/>
    </xf>
    <xf numFmtId="170" fontId="43" fillId="3" borderId="0" xfId="0" applyNumberFormat="1" applyFont="1" applyFill="1" applyAlignment="1">
      <alignment horizontal="center" wrapText="1"/>
    </xf>
    <xf numFmtId="0" fontId="43" fillId="0" borderId="0" xfId="0" applyFont="1" applyAlignment="1">
      <alignment horizontal="center"/>
    </xf>
    <xf numFmtId="0" fontId="43" fillId="0" borderId="0" xfId="0" applyFont="1" applyAlignment="1">
      <alignment horizontal="center" vertical="center" wrapText="1"/>
    </xf>
    <xf numFmtId="0" fontId="16" fillId="2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16" borderId="1" xfId="0" applyFont="1" applyFill="1" applyBorder="1" applyAlignment="1">
      <alignment horizontal="center" vertical="center" wrapText="1"/>
    </xf>
    <xf numFmtId="0" fontId="55" fillId="0" borderId="0" xfId="0" applyFont="1" applyAlignment="1">
      <alignment vertical="center"/>
    </xf>
    <xf numFmtId="0" fontId="43" fillId="3" borderId="0" xfId="0" applyFont="1" applyFill="1" applyAlignment="1">
      <alignment vertical="center"/>
    </xf>
    <xf numFmtId="14" fontId="55" fillId="16" borderId="1" xfId="0" applyNumberFormat="1" applyFont="1" applyFill="1" applyBorder="1" applyAlignment="1">
      <alignment horizontal="center" vertical="center" wrapText="1"/>
    </xf>
    <xf numFmtId="14" fontId="55" fillId="0" borderId="1" xfId="0" applyNumberFormat="1" applyFont="1" applyBorder="1" applyAlignment="1">
      <alignment horizontal="center" vertical="center" wrapText="1"/>
    </xf>
    <xf numFmtId="0" fontId="43" fillId="19" borderId="1" xfId="0" applyFont="1" applyFill="1" applyBorder="1" applyAlignment="1">
      <alignment horizontal="center" vertical="center" wrapText="1"/>
    </xf>
    <xf numFmtId="0" fontId="43" fillId="0" borderId="0" xfId="0" applyFont="1" applyAlignment="1">
      <alignment vertical="center"/>
    </xf>
    <xf numFmtId="0" fontId="43" fillId="19" borderId="1" xfId="0" applyFont="1" applyFill="1" applyBorder="1" applyAlignment="1">
      <alignment horizontal="center" vertical="center"/>
    </xf>
    <xf numFmtId="170" fontId="43" fillId="16" borderId="1" xfId="0" applyNumberFormat="1" applyFont="1" applyFill="1" applyBorder="1" applyAlignment="1">
      <alignment horizontal="center" vertical="center" wrapText="1"/>
    </xf>
    <xf numFmtId="170" fontId="43" fillId="0" borderId="1" xfId="0" applyNumberFormat="1" applyFont="1" applyBorder="1" applyAlignment="1">
      <alignment horizontal="center" vertical="center" wrapText="1"/>
    </xf>
    <xf numFmtId="0" fontId="43" fillId="19" borderId="5" xfId="0" applyFont="1" applyFill="1" applyBorder="1" applyAlignment="1">
      <alignment horizontal="center" vertical="center"/>
    </xf>
    <xf numFmtId="170" fontId="43" fillId="16" borderId="18" xfId="0" applyNumberFormat="1" applyFont="1" applyFill="1" applyBorder="1" applyAlignment="1">
      <alignment horizontal="center" vertical="center" wrapText="1"/>
    </xf>
    <xf numFmtId="170" fontId="19" fillId="16" borderId="1" xfId="0" applyNumberFormat="1" applyFont="1" applyFill="1" applyBorder="1" applyAlignment="1">
      <alignment horizontal="center" vertical="center" wrapText="1"/>
    </xf>
    <xf numFmtId="170" fontId="19" fillId="0" borderId="1" xfId="0" applyNumberFormat="1" applyFont="1" applyBorder="1" applyAlignment="1">
      <alignment horizontal="center" vertical="center" wrapText="1"/>
    </xf>
    <xf numFmtId="0" fontId="37" fillId="0" borderId="0" xfId="0" applyFont="1"/>
    <xf numFmtId="0" fontId="37" fillId="16" borderId="0" xfId="0" applyFont="1" applyFill="1"/>
    <xf numFmtId="10" fontId="43" fillId="16" borderId="30" xfId="0" applyNumberFormat="1" applyFont="1" applyFill="1" applyBorder="1" applyAlignment="1">
      <alignment horizontal="center" vertical="center"/>
    </xf>
    <xf numFmtId="170" fontId="43" fillId="0" borderId="32" xfId="0" applyNumberFormat="1" applyFont="1" applyBorder="1" applyAlignment="1">
      <alignment horizontal="center" vertical="center" wrapText="1"/>
    </xf>
    <xf numFmtId="170" fontId="43" fillId="16" borderId="32" xfId="0" applyNumberFormat="1" applyFont="1" applyFill="1" applyBorder="1" applyAlignment="1">
      <alignment horizontal="center" vertical="center" wrapText="1"/>
    </xf>
    <xf numFmtId="10" fontId="43" fillId="16" borderId="5" xfId="0" applyNumberFormat="1" applyFont="1" applyFill="1" applyBorder="1" applyAlignment="1">
      <alignment horizontal="center" vertical="center"/>
    </xf>
    <xf numFmtId="10" fontId="19" fillId="20" borderId="5" xfId="0" applyNumberFormat="1" applyFont="1" applyFill="1" applyBorder="1" applyAlignment="1">
      <alignment horizontal="center" vertical="center"/>
    </xf>
    <xf numFmtId="170" fontId="19" fillId="20" borderId="1" xfId="0" applyNumberFormat="1" applyFont="1" applyFill="1" applyBorder="1" applyAlignment="1">
      <alignment horizontal="center" vertical="center" wrapText="1"/>
    </xf>
    <xf numFmtId="170" fontId="19" fillId="0" borderId="32" xfId="0" applyNumberFormat="1" applyFont="1" applyBorder="1" applyAlignment="1">
      <alignment horizontal="center" vertical="center" wrapText="1"/>
    </xf>
    <xf numFmtId="170" fontId="19" fillId="20" borderId="32" xfId="0" applyNumberFormat="1" applyFont="1" applyFill="1" applyBorder="1" applyAlignment="1">
      <alignment horizontal="center" vertical="center" wrapText="1"/>
    </xf>
    <xf numFmtId="0" fontId="19" fillId="20" borderId="5" xfId="0" applyFont="1" applyFill="1" applyBorder="1" applyAlignment="1">
      <alignment vertical="center"/>
    </xf>
    <xf numFmtId="0" fontId="43" fillId="20" borderId="20" xfId="0" applyFont="1" applyFill="1" applyBorder="1"/>
    <xf numFmtId="0" fontId="43" fillId="16" borderId="20" xfId="0" applyFont="1" applyFill="1" applyBorder="1" applyAlignment="1">
      <alignment vertical="center"/>
    </xf>
    <xf numFmtId="0" fontId="19" fillId="16" borderId="20" xfId="0" applyFont="1" applyFill="1" applyBorder="1" applyAlignment="1">
      <alignment vertical="center"/>
    </xf>
    <xf numFmtId="0" fontId="43" fillId="19" borderId="39" xfId="0" applyFont="1" applyFill="1" applyBorder="1" applyAlignment="1">
      <alignment horizontal="center" vertical="center"/>
    </xf>
    <xf numFmtId="170" fontId="43" fillId="0" borderId="39" xfId="0" applyNumberFormat="1" applyFont="1" applyBorder="1" applyAlignment="1">
      <alignment horizontal="center" vertical="center" wrapText="1"/>
    </xf>
    <xf numFmtId="170" fontId="43" fillId="16" borderId="39" xfId="0" applyNumberFormat="1" applyFont="1" applyFill="1" applyBorder="1" applyAlignment="1">
      <alignment horizontal="center" vertical="center" wrapText="1"/>
    </xf>
    <xf numFmtId="0" fontId="43" fillId="19" borderId="32" xfId="0" applyFont="1" applyFill="1" applyBorder="1" applyAlignment="1">
      <alignment horizontal="center" vertical="center"/>
    </xf>
    <xf numFmtId="0" fontId="55" fillId="20" borderId="3" xfId="0" applyFont="1" applyFill="1" applyBorder="1" applyAlignment="1">
      <alignment vertical="center"/>
    </xf>
    <xf numFmtId="0" fontId="43" fillId="16" borderId="0" xfId="0" applyFont="1" applyFill="1" applyAlignment="1">
      <alignment vertical="center"/>
    </xf>
    <xf numFmtId="0" fontId="55" fillId="20" borderId="0" xfId="0" applyFont="1" applyFill="1" applyAlignment="1">
      <alignment vertical="center"/>
    </xf>
    <xf numFmtId="0" fontId="55" fillId="20" borderId="23" xfId="0" applyFont="1" applyFill="1" applyBorder="1" applyAlignment="1">
      <alignment vertical="center"/>
    </xf>
    <xf numFmtId="0" fontId="55" fillId="20" borderId="7" xfId="0" applyFont="1" applyFill="1" applyBorder="1" applyAlignment="1">
      <alignment vertical="center"/>
    </xf>
    <xf numFmtId="0" fontId="55" fillId="20" borderId="21" xfId="0" applyFont="1" applyFill="1" applyBorder="1" applyAlignment="1">
      <alignment vertical="center"/>
    </xf>
    <xf numFmtId="0" fontId="55" fillId="20" borderId="22" xfId="0" applyFont="1" applyFill="1" applyBorder="1" applyAlignment="1">
      <alignment vertical="center"/>
    </xf>
    <xf numFmtId="0" fontId="43" fillId="19" borderId="42" xfId="0" applyFont="1" applyFill="1" applyBorder="1" applyAlignment="1">
      <alignment horizontal="center" vertical="center"/>
    </xf>
    <xf numFmtId="170" fontId="43" fillId="0" borderId="57" xfId="0" applyNumberFormat="1" applyFont="1" applyBorder="1" applyAlignment="1">
      <alignment horizontal="center" vertical="center" wrapText="1"/>
    </xf>
    <xf numFmtId="170" fontId="43" fillId="16" borderId="42" xfId="0" applyNumberFormat="1" applyFont="1" applyFill="1" applyBorder="1" applyAlignment="1">
      <alignment horizontal="center" vertical="center" wrapText="1"/>
    </xf>
    <xf numFmtId="0" fontId="19" fillId="20" borderId="20" xfId="0" applyFont="1" applyFill="1" applyBorder="1" applyAlignment="1">
      <alignment vertical="center"/>
    </xf>
    <xf numFmtId="0" fontId="19" fillId="20" borderId="18" xfId="0" applyFont="1" applyFill="1" applyBorder="1" applyAlignment="1">
      <alignment vertical="center"/>
    </xf>
    <xf numFmtId="10" fontId="19" fillId="20" borderId="20" xfId="0" applyNumberFormat="1" applyFont="1" applyFill="1" applyBorder="1" applyAlignment="1">
      <alignment horizontal="center" vertical="center"/>
    </xf>
    <xf numFmtId="170" fontId="43" fillId="20" borderId="1" xfId="0" applyNumberFormat="1" applyFont="1" applyFill="1" applyBorder="1" applyAlignment="1">
      <alignment horizontal="center" vertical="center" wrapText="1"/>
    </xf>
    <xf numFmtId="0" fontId="19" fillId="20" borderId="58" xfId="0" applyFont="1" applyFill="1" applyBorder="1" applyAlignment="1">
      <alignment vertical="center"/>
    </xf>
    <xf numFmtId="0" fontId="19" fillId="0" borderId="3" xfId="0" applyFont="1" applyBorder="1" applyAlignment="1">
      <alignment horizontal="center" vertical="center"/>
    </xf>
    <xf numFmtId="0" fontId="19" fillId="0" borderId="0" xfId="0" applyFont="1" applyAlignment="1">
      <alignment horizontal="center" vertical="center"/>
    </xf>
    <xf numFmtId="0" fontId="19" fillId="0" borderId="0" xfId="0" applyFont="1" applyAlignment="1">
      <alignment vertical="center"/>
    </xf>
    <xf numFmtId="170" fontId="19" fillId="16" borderId="0" xfId="0" applyNumberFormat="1" applyFont="1" applyFill="1" applyAlignment="1">
      <alignment horizontal="center" vertical="center" wrapText="1"/>
    </xf>
    <xf numFmtId="170" fontId="19" fillId="0" borderId="0" xfId="0" applyNumberFormat="1" applyFont="1" applyAlignment="1">
      <alignment horizontal="center" vertical="center" wrapText="1"/>
    </xf>
    <xf numFmtId="170" fontId="57" fillId="15" borderId="5" xfId="8" applyNumberFormat="1" applyFont="1" applyFill="1" applyBorder="1" applyAlignment="1">
      <alignment horizontal="center" vertical="center"/>
    </xf>
    <xf numFmtId="0" fontId="42" fillId="16" borderId="4" xfId="8" applyFont="1" applyFill="1" applyBorder="1" applyAlignment="1">
      <alignment horizontal="center" vertical="center" wrapText="1"/>
    </xf>
    <xf numFmtId="0" fontId="42" fillId="16" borderId="5" xfId="8" applyFont="1" applyFill="1" applyBorder="1" applyAlignment="1">
      <alignment horizontal="left" vertical="center"/>
    </xf>
    <xf numFmtId="0" fontId="42" fillId="16" borderId="20" xfId="8" applyFont="1" applyFill="1" applyBorder="1" applyAlignment="1">
      <alignment vertical="center" wrapText="1"/>
    </xf>
    <xf numFmtId="0" fontId="42" fillId="16" borderId="18" xfId="8" applyFont="1" applyFill="1" applyBorder="1" applyAlignment="1">
      <alignment vertical="center" wrapText="1"/>
    </xf>
    <xf numFmtId="9" fontId="47" fillId="16" borderId="5" xfId="10" applyFont="1" applyFill="1" applyBorder="1" applyAlignment="1" applyProtection="1">
      <alignment horizontal="center" vertical="center" wrapText="1"/>
    </xf>
    <xf numFmtId="0" fontId="42" fillId="16" borderId="1" xfId="8" applyFont="1" applyFill="1" applyBorder="1" applyAlignment="1">
      <alignment horizontal="center" vertical="center" wrapText="1"/>
    </xf>
    <xf numFmtId="0" fontId="42" fillId="16" borderId="5" xfId="8" applyFont="1" applyFill="1" applyBorder="1" applyAlignment="1">
      <alignment vertical="center"/>
    </xf>
    <xf numFmtId="9" fontId="42" fillId="16" borderId="1" xfId="10" applyFont="1" applyFill="1" applyBorder="1" applyAlignment="1" applyProtection="1">
      <alignment horizontal="center" vertical="center" wrapText="1"/>
    </xf>
    <xf numFmtId="0" fontId="40" fillId="16" borderId="18" xfId="8" applyFont="1" applyFill="1" applyBorder="1" applyAlignment="1">
      <alignment vertical="center" wrapText="1"/>
    </xf>
    <xf numFmtId="0" fontId="53" fillId="16" borderId="20" xfId="8" applyFont="1" applyFill="1" applyBorder="1" applyAlignment="1">
      <alignment vertical="center" wrapText="1"/>
    </xf>
    <xf numFmtId="10" fontId="42" fillId="16" borderId="1" xfId="10" applyNumberFormat="1" applyFont="1" applyFill="1" applyBorder="1" applyAlignment="1" applyProtection="1">
      <alignment horizontal="center" vertical="center" wrapText="1"/>
    </xf>
    <xf numFmtId="9" fontId="40" fillId="16" borderId="5" xfId="10" applyFont="1" applyFill="1" applyBorder="1" applyAlignment="1" applyProtection="1">
      <alignment horizontal="center" vertical="center" wrapText="1"/>
    </xf>
    <xf numFmtId="9" fontId="47" fillId="16" borderId="1" xfId="8" applyNumberFormat="1" applyFont="1" applyFill="1" applyBorder="1" applyAlignment="1">
      <alignment horizontal="center" vertical="center" wrapText="1"/>
    </xf>
    <xf numFmtId="0" fontId="40" fillId="16" borderId="5" xfId="8" applyFont="1" applyFill="1" applyBorder="1" applyAlignment="1">
      <alignment vertical="center"/>
    </xf>
    <xf numFmtId="0" fontId="40" fillId="16" borderId="20" xfId="8" applyFont="1" applyFill="1" applyBorder="1" applyAlignment="1">
      <alignment vertical="center" wrapText="1"/>
    </xf>
    <xf numFmtId="9" fontId="40" fillId="21" borderId="1" xfId="8" applyNumberFormat="1" applyFont="1" applyFill="1" applyBorder="1" applyAlignment="1">
      <alignment horizontal="center" vertical="center" wrapText="1"/>
    </xf>
    <xf numFmtId="170" fontId="40" fillId="16" borderId="1" xfId="8" applyNumberFormat="1" applyFont="1" applyFill="1" applyBorder="1" applyAlignment="1">
      <alignment horizontal="center" vertical="center" wrapText="1"/>
    </xf>
    <xf numFmtId="10" fontId="37" fillId="16" borderId="0" xfId="10" applyNumberFormat="1" applyFont="1" applyFill="1" applyProtection="1"/>
    <xf numFmtId="0" fontId="19" fillId="19" borderId="20" xfId="0" applyFont="1" applyFill="1" applyBorder="1" applyAlignment="1">
      <alignment horizontal="center" vertical="center" wrapText="1"/>
    </xf>
    <xf numFmtId="0" fontId="19" fillId="19" borderId="5" xfId="0" applyFont="1" applyFill="1" applyBorder="1" applyAlignment="1">
      <alignment horizontal="center" vertical="center" wrapText="1"/>
    </xf>
    <xf numFmtId="0" fontId="19" fillId="0" borderId="20" xfId="0" applyFont="1" applyBorder="1" applyAlignment="1">
      <alignment horizontal="center" vertical="center" wrapText="1"/>
    </xf>
    <xf numFmtId="0" fontId="19" fillId="12" borderId="5" xfId="0" applyFont="1" applyFill="1" applyBorder="1" applyAlignment="1">
      <alignment horizontal="center" vertical="center" wrapText="1"/>
    </xf>
    <xf numFmtId="0" fontId="55" fillId="16" borderId="1" xfId="0" applyFont="1" applyFill="1" applyBorder="1" applyAlignment="1">
      <alignment horizontal="center" wrapText="1"/>
    </xf>
    <xf numFmtId="0" fontId="43" fillId="16" borderId="7" xfId="0" applyFont="1" applyFill="1" applyBorder="1" applyAlignment="1">
      <alignment horizontal="center" vertical="center"/>
    </xf>
    <xf numFmtId="177" fontId="19" fillId="13" borderId="5" xfId="0" applyNumberFormat="1" applyFont="1" applyFill="1" applyBorder="1" applyAlignment="1">
      <alignment horizontal="center" vertical="center"/>
    </xf>
    <xf numFmtId="170" fontId="37" fillId="16" borderId="0" xfId="0" applyNumberFormat="1" applyFont="1" applyFill="1"/>
    <xf numFmtId="0" fontId="19" fillId="12" borderId="20" xfId="0" applyFont="1" applyFill="1" applyBorder="1" applyAlignment="1">
      <alignment horizontal="center" vertical="center" wrapText="1"/>
    </xf>
    <xf numFmtId="0" fontId="43" fillId="20" borderId="26" xfId="0" applyFont="1" applyFill="1" applyBorder="1" applyAlignment="1">
      <alignment vertical="center"/>
    </xf>
    <xf numFmtId="170" fontId="43" fillId="20" borderId="4" xfId="0" applyNumberFormat="1" applyFont="1" applyFill="1" applyBorder="1" applyAlignment="1">
      <alignment horizontal="center" vertical="center" wrapText="1"/>
    </xf>
    <xf numFmtId="0" fontId="43" fillId="20" borderId="0" xfId="0" applyFont="1" applyFill="1" applyAlignment="1">
      <alignment vertical="center"/>
    </xf>
    <xf numFmtId="10" fontId="19" fillId="20" borderId="18" xfId="0" applyNumberFormat="1" applyFont="1" applyFill="1" applyBorder="1" applyAlignment="1">
      <alignment horizontal="center" vertical="center"/>
    </xf>
    <xf numFmtId="0" fontId="43" fillId="16" borderId="19" xfId="0" applyFont="1" applyFill="1" applyBorder="1" applyAlignment="1">
      <alignment vertical="center"/>
    </xf>
    <xf numFmtId="170" fontId="74" fillId="16" borderId="1" xfId="0" applyNumberFormat="1" applyFont="1" applyFill="1" applyBorder="1" applyAlignment="1">
      <alignment horizontal="center" vertical="center" wrapText="1"/>
    </xf>
    <xf numFmtId="170" fontId="19" fillId="16" borderId="18" xfId="0" applyNumberFormat="1" applyFont="1" applyFill="1" applyBorder="1" applyAlignment="1">
      <alignment horizontal="center" vertical="center" wrapText="1"/>
    </xf>
    <xf numFmtId="170" fontId="19" fillId="0" borderId="18" xfId="0" applyNumberFormat="1" applyFont="1" applyBorder="1" applyAlignment="1">
      <alignment horizontal="center" vertical="center" wrapText="1"/>
    </xf>
    <xf numFmtId="170" fontId="19" fillId="20" borderId="18" xfId="0" applyNumberFormat="1" applyFont="1" applyFill="1" applyBorder="1" applyAlignment="1">
      <alignment horizontal="center" vertical="center" wrapText="1"/>
    </xf>
    <xf numFmtId="170" fontId="43" fillId="20" borderId="2" xfId="0" applyNumberFormat="1" applyFont="1" applyFill="1" applyBorder="1" applyAlignment="1">
      <alignment horizontal="center" vertical="center" wrapText="1"/>
    </xf>
    <xf numFmtId="44" fontId="19" fillId="16" borderId="1" xfId="0" applyNumberFormat="1" applyFont="1" applyFill="1" applyBorder="1" applyAlignment="1">
      <alignment vertical="center" wrapText="1"/>
    </xf>
    <xf numFmtId="44" fontId="19" fillId="0" borderId="1" xfId="0" applyNumberFormat="1" applyFont="1" applyBorder="1" applyAlignment="1">
      <alignment vertical="center" wrapText="1"/>
    </xf>
    <xf numFmtId="44" fontId="43" fillId="16" borderId="1" xfId="0" applyNumberFormat="1" applyFont="1" applyFill="1" applyBorder="1" applyAlignment="1">
      <alignment vertical="center" wrapText="1"/>
    </xf>
    <xf numFmtId="44" fontId="43" fillId="0" borderId="1" xfId="0" applyNumberFormat="1" applyFont="1" applyBorder="1" applyAlignment="1">
      <alignment vertical="center" wrapText="1"/>
    </xf>
    <xf numFmtId="0" fontId="19" fillId="20" borderId="18" xfId="0" applyFont="1" applyFill="1" applyBorder="1" applyAlignment="1">
      <alignment horizontal="left" vertical="center"/>
    </xf>
    <xf numFmtId="44" fontId="43" fillId="16" borderId="18" xfId="0" applyNumberFormat="1" applyFont="1" applyFill="1" applyBorder="1" applyAlignment="1">
      <alignment vertical="center" wrapText="1"/>
    </xf>
    <xf numFmtId="44" fontId="43" fillId="0" borderId="18" xfId="0" applyNumberFormat="1" applyFont="1" applyBorder="1" applyAlignment="1">
      <alignment vertical="center" wrapText="1"/>
    </xf>
    <xf numFmtId="0" fontId="46" fillId="20" borderId="18" xfId="0" applyFont="1" applyFill="1" applyBorder="1" applyAlignment="1">
      <alignment horizontal="left" vertical="center"/>
    </xf>
    <xf numFmtId="10" fontId="43" fillId="16" borderId="61" xfId="0" applyNumberFormat="1" applyFont="1" applyFill="1" applyBorder="1" applyAlignment="1">
      <alignment horizontal="right" vertical="center"/>
    </xf>
    <xf numFmtId="10" fontId="59" fillId="16" borderId="18" xfId="0" applyNumberFormat="1" applyFont="1" applyFill="1" applyBorder="1" applyAlignment="1">
      <alignment horizontal="center" vertical="center" wrapText="1"/>
    </xf>
    <xf numFmtId="0" fontId="56" fillId="0" borderId="0" xfId="0" applyFont="1"/>
    <xf numFmtId="44" fontId="19" fillId="20" borderId="1" xfId="0" applyNumberFormat="1" applyFont="1" applyFill="1" applyBorder="1" applyAlignment="1">
      <alignment horizontal="center" vertical="center" wrapText="1"/>
    </xf>
    <xf numFmtId="44" fontId="19" fillId="0" borderId="1" xfId="0" applyNumberFormat="1" applyFont="1" applyBorder="1" applyAlignment="1">
      <alignment horizontal="center" vertical="center" wrapText="1"/>
    </xf>
    <xf numFmtId="0" fontId="43" fillId="3" borderId="0" xfId="0" applyFont="1" applyFill="1" applyAlignment="1">
      <alignment vertical="center" wrapText="1"/>
    </xf>
    <xf numFmtId="0" fontId="43" fillId="0" borderId="0" xfId="0" applyFont="1" applyAlignment="1">
      <alignment vertical="center" wrapText="1"/>
    </xf>
    <xf numFmtId="0" fontId="19" fillId="0" borderId="0" xfId="0" applyFont="1" applyAlignment="1">
      <alignment horizontal="center" vertical="center" wrapText="1"/>
    </xf>
    <xf numFmtId="0" fontId="44" fillId="16" borderId="1" xfId="0" applyFont="1" applyFill="1" applyBorder="1" applyAlignment="1">
      <alignment horizontal="center" vertical="center"/>
    </xf>
    <xf numFmtId="0" fontId="38" fillId="0" borderId="0" xfId="0" applyFont="1" applyAlignment="1">
      <alignment horizontal="center" vertical="center" wrapText="1"/>
    </xf>
    <xf numFmtId="0" fontId="42" fillId="0" borderId="0" xfId="0" applyFont="1"/>
    <xf numFmtId="0" fontId="42" fillId="0" borderId="0" xfId="0" applyFont="1" applyAlignment="1">
      <alignment horizontal="center" vertical="center" wrapText="1"/>
    </xf>
    <xf numFmtId="169" fontId="38" fillId="0" borderId="59" xfId="0" quotePrefix="1" applyNumberFormat="1" applyFont="1" applyBorder="1" applyAlignment="1">
      <alignment horizontal="center" vertical="center"/>
    </xf>
    <xf numFmtId="10" fontId="42" fillId="0" borderId="59" xfId="10" applyNumberFormat="1" applyFont="1" applyFill="1" applyBorder="1" applyAlignment="1">
      <alignment horizontal="center" vertical="center"/>
    </xf>
    <xf numFmtId="0" fontId="42" fillId="0" borderId="59" xfId="0" quotePrefix="1" applyFont="1" applyBorder="1" applyAlignment="1">
      <alignment horizontal="center" vertical="center"/>
    </xf>
    <xf numFmtId="0" fontId="42" fillId="0" borderId="59" xfId="0" applyFont="1" applyBorder="1" applyAlignment="1">
      <alignment vertical="center" wrapText="1"/>
    </xf>
    <xf numFmtId="0" fontId="79" fillId="0" borderId="0" xfId="0" applyFont="1" applyAlignment="1">
      <alignment vertical="center"/>
    </xf>
    <xf numFmtId="0" fontId="42" fillId="0" borderId="0" xfId="0" applyFont="1" applyAlignment="1">
      <alignment vertical="center"/>
    </xf>
    <xf numFmtId="169" fontId="42" fillId="0" borderId="59" xfId="0" quotePrefix="1" applyNumberFormat="1" applyFont="1" applyBorder="1" applyAlignment="1">
      <alignment horizontal="center" vertical="center" wrapText="1"/>
    </xf>
    <xf numFmtId="0" fontId="42" fillId="0" borderId="59" xfId="0" applyFont="1" applyBorder="1" applyAlignment="1">
      <alignment vertical="center"/>
    </xf>
    <xf numFmtId="0" fontId="42" fillId="0" borderId="59" xfId="0" quotePrefix="1" applyFont="1" applyBorder="1" applyAlignment="1">
      <alignment horizontal="center" vertical="center" wrapText="1"/>
    </xf>
    <xf numFmtId="0" fontId="41" fillId="9" borderId="59" xfId="0" applyFont="1" applyFill="1" applyBorder="1" applyAlignment="1">
      <alignment horizontal="left" vertical="center"/>
    </xf>
    <xf numFmtId="169" fontId="42" fillId="3" borderId="59" xfId="0" applyNumberFormat="1" applyFont="1" applyFill="1" applyBorder="1" applyAlignment="1">
      <alignment horizontal="center" vertical="center"/>
    </xf>
    <xf numFmtId="0" fontId="53" fillId="0" borderId="0" xfId="0" applyFont="1" applyAlignment="1">
      <alignment vertical="center"/>
    </xf>
    <xf numFmtId="169" fontId="42" fillId="3" borderId="59" xfId="0" applyNumberFormat="1" applyFont="1" applyFill="1" applyBorder="1" applyAlignment="1">
      <alignment horizontal="center" vertical="center" wrapText="1"/>
    </xf>
    <xf numFmtId="169" fontId="38" fillId="3" borderId="59" xfId="0" applyNumberFormat="1" applyFont="1" applyFill="1" applyBorder="1" applyAlignment="1">
      <alignment horizontal="center" vertical="center"/>
    </xf>
    <xf numFmtId="169" fontId="38" fillId="3" borderId="59" xfId="0" applyNumberFormat="1" applyFont="1" applyFill="1" applyBorder="1" applyAlignment="1">
      <alignment horizontal="center" vertical="center" wrapText="1"/>
    </xf>
    <xf numFmtId="9" fontId="42" fillId="3" borderId="59" xfId="4" applyNumberFormat="1" applyFont="1" applyFill="1" applyBorder="1" applyAlignment="1">
      <alignment horizontal="center" vertical="center"/>
    </xf>
    <xf numFmtId="0" fontId="42" fillId="3" borderId="59" xfId="0" applyFont="1" applyFill="1" applyBorder="1" applyAlignment="1">
      <alignment horizontal="center" vertical="center"/>
    </xf>
    <xf numFmtId="0" fontId="42" fillId="3" borderId="59" xfId="0" quotePrefix="1" applyFont="1" applyFill="1" applyBorder="1" applyAlignment="1">
      <alignment horizontal="center" vertical="center"/>
    </xf>
    <xf numFmtId="0" fontId="42" fillId="0" borderId="59" xfId="0" applyFont="1" applyBorder="1" applyAlignment="1">
      <alignment horizontal="left" vertical="center" wrapText="1"/>
    </xf>
    <xf numFmtId="0" fontId="42" fillId="2" borderId="76" xfId="0" applyFont="1" applyFill="1" applyBorder="1" applyAlignment="1">
      <alignment vertical="center" wrapText="1"/>
    </xf>
    <xf numFmtId="0" fontId="42" fillId="0" borderId="59" xfId="0" applyFont="1" applyBorder="1" applyAlignment="1">
      <alignment horizontal="center" vertical="center" wrapText="1"/>
    </xf>
    <xf numFmtId="0" fontId="41" fillId="9" borderId="71" xfId="0" applyFont="1" applyFill="1" applyBorder="1" applyAlignment="1">
      <alignment horizontal="center" vertical="center"/>
    </xf>
    <xf numFmtId="0" fontId="38" fillId="0" borderId="1" xfId="0" applyFont="1" applyBorder="1" applyAlignment="1">
      <alignment vertical="center" wrapText="1"/>
    </xf>
    <xf numFmtId="0" fontId="40" fillId="9" borderId="71" xfId="0" applyFont="1" applyFill="1" applyBorder="1" applyAlignment="1">
      <alignment horizontal="center" vertical="center" wrapText="1"/>
    </xf>
    <xf numFmtId="0" fontId="38" fillId="3" borderId="59" xfId="0" applyFont="1" applyFill="1" applyBorder="1" applyAlignment="1">
      <alignment horizontal="center" vertical="center" wrapText="1"/>
    </xf>
    <xf numFmtId="169" fontId="38" fillId="3" borderId="59" xfId="0" applyNumberFormat="1" applyFont="1" applyFill="1" applyBorder="1" applyAlignment="1">
      <alignment horizontal="left" vertical="center"/>
    </xf>
    <xf numFmtId="0" fontId="38" fillId="3" borderId="71" xfId="0" applyFont="1" applyFill="1" applyBorder="1" applyAlignment="1">
      <alignment horizontal="left" vertical="center"/>
    </xf>
    <xf numFmtId="0" fontId="38" fillId="3" borderId="77" xfId="0" applyFont="1" applyFill="1" applyBorder="1" applyAlignment="1">
      <alignment horizontal="center" vertical="center" wrapText="1"/>
    </xf>
    <xf numFmtId="166" fontId="42" fillId="16" borderId="1" xfId="10" applyNumberFormat="1" applyFont="1" applyFill="1" applyBorder="1" applyAlignment="1" applyProtection="1">
      <alignment horizontal="center" vertical="center" wrapText="1"/>
    </xf>
    <xf numFmtId="0" fontId="57" fillId="16" borderId="18" xfId="8" applyFont="1" applyFill="1" applyBorder="1" applyAlignment="1">
      <alignment horizontal="right" vertical="center" wrapText="1"/>
    </xf>
    <xf numFmtId="14" fontId="55" fillId="16" borderId="0" xfId="0" applyNumberFormat="1" applyFont="1" applyFill="1" applyAlignment="1">
      <alignment horizontal="center" vertical="center" wrapText="1"/>
    </xf>
    <xf numFmtId="14" fontId="55" fillId="0" borderId="0" xfId="0" applyNumberFormat="1" applyFont="1" applyAlignment="1">
      <alignment horizontal="center" vertical="center" wrapText="1"/>
    </xf>
    <xf numFmtId="167" fontId="43" fillId="0" borderId="0" xfId="0" applyNumberFormat="1" applyFont="1" applyAlignment="1">
      <alignment horizontal="center" vertical="center" wrapText="1"/>
    </xf>
    <xf numFmtId="0" fontId="43" fillId="0" borderId="0" xfId="0" applyFont="1" applyAlignment="1">
      <alignment horizontal="right" vertical="center"/>
    </xf>
    <xf numFmtId="167" fontId="43" fillId="16" borderId="0" xfId="0" applyNumberFormat="1" applyFont="1" applyFill="1" applyAlignment="1">
      <alignment horizontal="center" vertical="center" wrapText="1"/>
    </xf>
    <xf numFmtId="0" fontId="43" fillId="16" borderId="0" xfId="0" applyFont="1" applyFill="1" applyAlignment="1">
      <alignment vertical="center" wrapText="1"/>
    </xf>
    <xf numFmtId="0" fontId="19" fillId="16" borderId="0" xfId="0" applyFont="1" applyFill="1" applyAlignment="1">
      <alignment horizontal="center" vertical="center" wrapText="1"/>
    </xf>
    <xf numFmtId="168" fontId="43" fillId="0" borderId="0" xfId="0" applyNumberFormat="1" applyFont="1" applyAlignment="1">
      <alignment vertical="center"/>
    </xf>
    <xf numFmtId="44" fontId="19" fillId="0" borderId="4" xfId="0" applyNumberFormat="1" applyFont="1" applyBorder="1" applyAlignment="1">
      <alignment horizontal="center" vertical="center" wrapText="1"/>
    </xf>
    <xf numFmtId="44" fontId="43" fillId="16" borderId="20" xfId="0" applyNumberFormat="1" applyFont="1" applyFill="1" applyBorder="1" applyAlignment="1">
      <alignment horizontal="center" vertical="center" wrapText="1"/>
    </xf>
    <xf numFmtId="44" fontId="43" fillId="16" borderId="5" xfId="0" applyNumberFormat="1" applyFont="1" applyFill="1" applyBorder="1" applyAlignment="1">
      <alignment horizontal="center" vertical="center" wrapText="1"/>
    </xf>
    <xf numFmtId="44" fontId="15" fillId="16" borderId="1" xfId="0" applyNumberFormat="1" applyFont="1" applyFill="1" applyBorder="1" applyAlignment="1">
      <alignment horizontal="center" vertical="center" wrapText="1"/>
    </xf>
    <xf numFmtId="168" fontId="43" fillId="16" borderId="0" xfId="0" applyNumberFormat="1" applyFont="1" applyFill="1" applyAlignment="1">
      <alignment horizontal="center" vertical="center" wrapText="1"/>
    </xf>
    <xf numFmtId="0" fontId="43" fillId="0" borderId="1" xfId="0" applyFont="1" applyBorder="1" applyAlignment="1">
      <alignment horizontal="center" vertical="center" wrapText="1"/>
    </xf>
    <xf numFmtId="0" fontId="42" fillId="16" borderId="5" xfId="0" applyFont="1" applyFill="1" applyBorder="1" applyAlignment="1">
      <alignment horizontal="right" vertical="center"/>
    </xf>
    <xf numFmtId="0" fontId="42" fillId="16" borderId="20" xfId="0" applyFont="1" applyFill="1" applyBorder="1" applyAlignment="1">
      <alignment horizontal="right" vertical="center"/>
    </xf>
    <xf numFmtId="170" fontId="43" fillId="0" borderId="2" xfId="0" applyNumberFormat="1" applyFont="1" applyBorder="1" applyAlignment="1">
      <alignment horizontal="center" vertical="center" wrapText="1"/>
    </xf>
    <xf numFmtId="170" fontId="43" fillId="0" borderId="4" xfId="0" applyNumberFormat="1" applyFont="1" applyBorder="1" applyAlignment="1">
      <alignment horizontal="center" vertical="center" wrapText="1"/>
    </xf>
    <xf numFmtId="170" fontId="43" fillId="16" borderId="2" xfId="0" applyNumberFormat="1" applyFont="1" applyFill="1" applyBorder="1" applyAlignment="1">
      <alignment horizontal="center" vertical="center" wrapText="1"/>
    </xf>
    <xf numFmtId="170" fontId="43" fillId="16" borderId="4" xfId="0" applyNumberFormat="1" applyFont="1" applyFill="1" applyBorder="1" applyAlignment="1">
      <alignment horizontal="center" vertical="center" wrapText="1"/>
    </xf>
    <xf numFmtId="0" fontId="19" fillId="20" borderId="19" xfId="0" applyFont="1" applyFill="1" applyBorder="1" applyAlignment="1">
      <alignment horizontal="left" vertical="center"/>
    </xf>
    <xf numFmtId="0" fontId="43" fillId="16" borderId="18" xfId="0" applyFont="1" applyFill="1" applyBorder="1" applyAlignment="1">
      <alignment horizontal="left" vertical="center"/>
    </xf>
    <xf numFmtId="44" fontId="43" fillId="0" borderId="1" xfId="0" applyNumberFormat="1" applyFont="1" applyBorder="1" applyAlignment="1">
      <alignment horizontal="center" vertical="center" wrapText="1"/>
    </xf>
    <xf numFmtId="44" fontId="43" fillId="16" borderId="1" xfId="0" applyNumberFormat="1" applyFont="1" applyFill="1" applyBorder="1" applyAlignment="1">
      <alignment horizontal="center" vertical="center" wrapText="1"/>
    </xf>
    <xf numFmtId="44" fontId="43" fillId="0" borderId="0" xfId="0" applyNumberFormat="1" applyFont="1" applyAlignment="1">
      <alignment horizontal="right" vertical="center"/>
    </xf>
    <xf numFmtId="10" fontId="19" fillId="16" borderId="0" xfId="0" applyNumberFormat="1" applyFont="1" applyFill="1" applyAlignment="1">
      <alignment horizontal="center" vertical="center" wrapText="1"/>
    </xf>
    <xf numFmtId="44" fontId="15" fillId="16" borderId="20" xfId="0" applyNumberFormat="1" applyFont="1" applyFill="1" applyBorder="1" applyAlignment="1">
      <alignment horizontal="center" vertical="center" wrapText="1"/>
    </xf>
    <xf numFmtId="44" fontId="15" fillId="0" borderId="20" xfId="0" applyNumberFormat="1" applyFont="1" applyBorder="1" applyAlignment="1">
      <alignment horizontal="center" vertical="center" wrapText="1"/>
    </xf>
    <xf numFmtId="44" fontId="43" fillId="0" borderId="20" xfId="0" applyNumberFormat="1" applyFont="1" applyBorder="1" applyAlignment="1">
      <alignment horizontal="center" vertical="center" wrapText="1"/>
    </xf>
    <xf numFmtId="44" fontId="15" fillId="16" borderId="5" xfId="0" applyNumberFormat="1" applyFont="1" applyFill="1" applyBorder="1" applyAlignment="1">
      <alignment horizontal="center" vertical="center" wrapText="1"/>
    </xf>
    <xf numFmtId="44" fontId="50" fillId="16" borderId="20" xfId="0" applyNumberFormat="1" applyFont="1" applyFill="1" applyBorder="1" applyAlignment="1">
      <alignment horizontal="center" vertical="center" wrapText="1"/>
    </xf>
    <xf numFmtId="44" fontId="50" fillId="0" borderId="20" xfId="0" applyNumberFormat="1" applyFont="1" applyBorder="1" applyAlignment="1">
      <alignment horizontal="center" vertical="center" wrapText="1"/>
    </xf>
    <xf numFmtId="44" fontId="43" fillId="16" borderId="21" xfId="0" applyNumberFormat="1" applyFont="1" applyFill="1" applyBorder="1" applyAlignment="1">
      <alignment horizontal="center" vertical="center" wrapText="1"/>
    </xf>
    <xf numFmtId="44" fontId="43" fillId="0" borderId="21" xfId="0" applyNumberFormat="1" applyFont="1" applyBorder="1" applyAlignment="1">
      <alignment horizontal="center" vertical="center" wrapText="1"/>
    </xf>
    <xf numFmtId="44" fontId="15" fillId="0" borderId="1" xfId="0" applyNumberFormat="1" applyFont="1" applyBorder="1" applyAlignment="1">
      <alignment horizontal="center" vertical="center" wrapText="1"/>
    </xf>
    <xf numFmtId="168" fontId="43" fillId="0" borderId="0" xfId="0" applyNumberFormat="1" applyFont="1" applyAlignment="1">
      <alignment horizontal="center" vertical="center" wrapText="1"/>
    </xf>
    <xf numFmtId="44" fontId="15" fillId="0" borderId="5" xfId="0" applyNumberFormat="1" applyFont="1" applyBorder="1" applyAlignment="1">
      <alignment horizontal="center" vertical="center" wrapText="1"/>
    </xf>
    <xf numFmtId="0" fontId="53" fillId="0" borderId="0" xfId="0" applyFont="1"/>
    <xf numFmtId="0" fontId="38" fillId="0" borderId="0" xfId="0" applyFont="1" applyAlignment="1">
      <alignment horizontal="center"/>
    </xf>
    <xf numFmtId="0" fontId="42" fillId="0" borderId="1" xfId="8" applyFont="1" applyBorder="1" applyAlignment="1">
      <alignment horizontal="center" vertical="center"/>
    </xf>
    <xf numFmtId="0" fontId="42" fillId="0" borderId="1" xfId="8" applyFont="1" applyBorder="1" applyAlignment="1">
      <alignment horizontal="justify" vertical="justify"/>
    </xf>
    <xf numFmtId="0" fontId="38" fillId="0" borderId="0" xfId="0" applyFont="1" applyAlignment="1">
      <alignment horizontal="left"/>
    </xf>
    <xf numFmtId="0" fontId="38" fillId="0" borderId="0" xfId="0" applyFont="1" applyAlignment="1">
      <alignment horizontal="left" wrapText="1"/>
    </xf>
    <xf numFmtId="170" fontId="38" fillId="0" borderId="0" xfId="0" applyNumberFormat="1" applyFont="1"/>
    <xf numFmtId="170" fontId="53" fillId="0" borderId="0" xfId="0" applyNumberFormat="1" applyFont="1"/>
    <xf numFmtId="0" fontId="50" fillId="0" borderId="0" xfId="0" applyFont="1" applyAlignment="1">
      <alignment vertical="center"/>
    </xf>
    <xf numFmtId="0" fontId="37" fillId="3" borderId="0" xfId="0" applyFont="1" applyFill="1"/>
    <xf numFmtId="0" fontId="67" fillId="0" borderId="1" xfId="8" applyFont="1" applyBorder="1" applyAlignment="1">
      <alignment horizontal="center" vertical="center"/>
    </xf>
    <xf numFmtId="0" fontId="42" fillId="2" borderId="71" xfId="0" applyFont="1" applyFill="1" applyBorder="1" applyAlignment="1">
      <alignment horizontal="center" vertical="center" wrapText="1"/>
    </xf>
    <xf numFmtId="0" fontId="42" fillId="2" borderId="71" xfId="0" applyFont="1" applyFill="1" applyBorder="1" applyAlignment="1">
      <alignment vertical="center" wrapText="1"/>
    </xf>
    <xf numFmtId="10" fontId="38" fillId="0" borderId="71" xfId="10" applyNumberFormat="1" applyFont="1" applyFill="1" applyBorder="1" applyAlignment="1">
      <alignment horizontal="center" vertical="center"/>
    </xf>
    <xf numFmtId="0" fontId="42" fillId="2" borderId="1" xfId="0" applyFont="1" applyFill="1" applyBorder="1" applyAlignment="1">
      <alignment horizontal="center" vertical="center" wrapText="1"/>
    </xf>
    <xf numFmtId="0" fontId="38" fillId="0" borderId="1" xfId="0" applyFont="1" applyBorder="1" applyAlignment="1">
      <alignment vertical="center"/>
    </xf>
    <xf numFmtId="169" fontId="38" fillId="0" borderId="71" xfId="0" quotePrefix="1" applyNumberFormat="1" applyFont="1" applyBorder="1" applyAlignment="1">
      <alignment horizontal="center" vertical="center" wrapText="1"/>
    </xf>
    <xf numFmtId="169" fontId="38" fillId="0" borderId="1" xfId="0" quotePrefix="1" applyNumberFormat="1" applyFont="1" applyBorder="1" applyAlignment="1">
      <alignment horizontal="center" vertical="center" wrapText="1"/>
    </xf>
    <xf numFmtId="0" fontId="53" fillId="37" borderId="0" xfId="0" applyFont="1" applyFill="1" applyAlignment="1">
      <alignment horizontal="right" vertical="center" wrapText="1"/>
    </xf>
    <xf numFmtId="0" fontId="89" fillId="0" borderId="0" xfId="0" applyFont="1"/>
    <xf numFmtId="0" fontId="38" fillId="3" borderId="0" xfId="0" applyFont="1" applyFill="1"/>
    <xf numFmtId="0" fontId="91" fillId="0" borderId="0" xfId="0" applyFont="1"/>
    <xf numFmtId="0" fontId="38" fillId="3" borderId="0" xfId="0" applyFont="1" applyFill="1" applyAlignment="1">
      <alignment vertical="top"/>
    </xf>
    <xf numFmtId="44" fontId="43" fillId="7" borderId="4" xfId="25" applyFont="1" applyFill="1" applyBorder="1" applyAlignment="1" applyProtection="1">
      <alignment horizontal="center" vertical="center"/>
      <protection locked="0"/>
    </xf>
    <xf numFmtId="44" fontId="43" fillId="7" borderId="1" xfId="25" applyFont="1" applyFill="1" applyBorder="1" applyAlignment="1" applyProtection="1">
      <alignment horizontal="center" vertical="center"/>
      <protection locked="0"/>
    </xf>
    <xf numFmtId="184" fontId="43" fillId="3" borderId="22" xfId="25" applyNumberFormat="1" applyFont="1" applyFill="1" applyBorder="1" applyAlignment="1" applyProtection="1">
      <alignment horizontal="center" vertical="center"/>
    </xf>
    <xf numFmtId="44" fontId="42" fillId="7" borderId="4" xfId="25" applyFont="1" applyFill="1" applyBorder="1" applyAlignment="1" applyProtection="1">
      <alignment horizontal="center" vertical="center"/>
      <protection locked="0"/>
    </xf>
    <xf numFmtId="44" fontId="42" fillId="3" borderId="4" xfId="25" applyFont="1" applyFill="1" applyBorder="1" applyAlignment="1" applyProtection="1">
      <alignment horizontal="center" vertical="center"/>
    </xf>
    <xf numFmtId="0" fontId="42" fillId="0" borderId="0" xfId="0" applyFont="1" applyAlignment="1">
      <alignment horizontal="center" vertical="center"/>
    </xf>
    <xf numFmtId="0" fontId="50" fillId="39" borderId="0" xfId="0" applyFont="1" applyFill="1" applyAlignment="1">
      <alignment vertical="center"/>
    </xf>
    <xf numFmtId="0" fontId="42" fillId="3" borderId="0" xfId="0" applyFont="1" applyFill="1"/>
    <xf numFmtId="0" fontId="40" fillId="36" borderId="0" xfId="0" applyFont="1" applyFill="1" applyAlignment="1">
      <alignment horizontal="right" vertical="center" wrapText="1"/>
    </xf>
    <xf numFmtId="0" fontId="42" fillId="0" borderId="0" xfId="0" applyFont="1" applyAlignment="1">
      <alignment horizontal="justify" vertical="center" wrapText="1"/>
    </xf>
    <xf numFmtId="0" fontId="42" fillId="3" borderId="0" xfId="0" applyFont="1" applyFill="1" applyAlignment="1">
      <alignment horizontal="center" vertical="center"/>
    </xf>
    <xf numFmtId="0" fontId="19" fillId="3" borderId="0" xfId="0" applyFont="1" applyFill="1" applyAlignment="1">
      <alignment horizontal="center" vertical="center" wrapText="1"/>
    </xf>
    <xf numFmtId="0" fontId="43" fillId="3" borderId="0" xfId="0" applyFont="1" applyFill="1" applyAlignment="1">
      <alignment horizontal="center" vertical="center" wrapText="1"/>
    </xf>
    <xf numFmtId="44" fontId="43" fillId="3" borderId="0" xfId="4" applyFont="1" applyFill="1" applyBorder="1" applyAlignment="1" applyProtection="1">
      <alignment horizontal="center" vertical="center" wrapText="1"/>
    </xf>
    <xf numFmtId="44" fontId="19" fillId="11" borderId="0" xfId="4" applyFont="1" applyFill="1" applyBorder="1" applyAlignment="1" applyProtection="1">
      <alignment horizontal="center" vertical="center" wrapText="1"/>
    </xf>
    <xf numFmtId="44" fontId="19" fillId="3" borderId="0" xfId="4" applyFont="1" applyFill="1" applyBorder="1" applyAlignment="1" applyProtection="1">
      <alignment horizontal="center" vertical="center" wrapText="1"/>
    </xf>
    <xf numFmtId="0" fontId="98" fillId="0" borderId="0" xfId="8" applyFont="1"/>
    <xf numFmtId="0" fontId="98" fillId="0" borderId="1" xfId="8" applyFont="1" applyBorder="1" applyAlignment="1">
      <alignment vertical="center"/>
    </xf>
    <xf numFmtId="0" fontId="67" fillId="0" borderId="1" xfId="8" applyFont="1" applyBorder="1" applyAlignment="1">
      <alignment vertical="center"/>
    </xf>
    <xf numFmtId="0" fontId="67" fillId="0" borderId="0" xfId="8" applyFont="1"/>
    <xf numFmtId="180" fontId="69" fillId="28" borderId="1" xfId="8" applyNumberFormat="1" applyFont="1" applyFill="1" applyBorder="1" applyAlignment="1">
      <alignment horizontal="center" vertical="center" wrapText="1"/>
    </xf>
    <xf numFmtId="0" fontId="67" fillId="0" borderId="1" xfId="8" applyFont="1" applyBorder="1" applyAlignment="1">
      <alignment horizontal="justify" vertical="justify"/>
    </xf>
    <xf numFmtId="0" fontId="67" fillId="3" borderId="1" xfId="8" applyFont="1" applyFill="1" applyBorder="1" applyAlignment="1">
      <alignment horizontal="center" vertical="center"/>
    </xf>
    <xf numFmtId="0" fontId="67" fillId="22" borderId="1" xfId="8" applyFont="1" applyFill="1" applyBorder="1" applyAlignment="1">
      <alignment horizontal="center" vertical="center"/>
    </xf>
    <xf numFmtId="0" fontId="98" fillId="3" borderId="1" xfId="8" applyFont="1" applyFill="1" applyBorder="1" applyAlignment="1">
      <alignment vertical="center"/>
    </xf>
    <xf numFmtId="0" fontId="67" fillId="3" borderId="1" xfId="8" applyFont="1" applyFill="1" applyBorder="1" applyAlignment="1">
      <alignment vertical="center"/>
    </xf>
    <xf numFmtId="0" fontId="67" fillId="3" borderId="0" xfId="8" applyFont="1" applyFill="1"/>
    <xf numFmtId="0" fontId="98" fillId="3" borderId="0" xfId="8" applyFont="1" applyFill="1"/>
    <xf numFmtId="0" fontId="67" fillId="22" borderId="1" xfId="8" applyFont="1" applyFill="1" applyBorder="1" applyAlignment="1">
      <alignment horizontal="justify" vertical="justify"/>
    </xf>
    <xf numFmtId="0" fontId="98" fillId="0" borderId="1" xfId="8" applyFont="1" applyBorder="1" applyAlignment="1">
      <alignment horizontal="center" vertical="center"/>
    </xf>
    <xf numFmtId="0" fontId="98" fillId="0" borderId="5" xfId="8" applyFont="1" applyBorder="1" applyAlignment="1">
      <alignment horizontal="center" vertical="center"/>
    </xf>
    <xf numFmtId="180" fontId="69" fillId="22" borderId="1" xfId="8" applyNumberFormat="1" applyFont="1" applyFill="1" applyBorder="1" applyAlignment="1">
      <alignment horizontal="center" vertical="center" wrapText="1"/>
    </xf>
    <xf numFmtId="0" fontId="86" fillId="0" borderId="0" xfId="8" applyFont="1"/>
    <xf numFmtId="181" fontId="38" fillId="3" borderId="0" xfId="0" applyNumberFormat="1" applyFont="1" applyFill="1"/>
    <xf numFmtId="0" fontId="99" fillId="0" borderId="1" xfId="8" applyFont="1" applyBorder="1" applyAlignment="1">
      <alignment vertical="center"/>
    </xf>
    <xf numFmtId="44" fontId="37" fillId="0" borderId="0" xfId="0" applyNumberFormat="1" applyFont="1"/>
    <xf numFmtId="0" fontId="88" fillId="0" borderId="1" xfId="8" applyFont="1" applyBorder="1" applyAlignment="1">
      <alignment horizontal="center" vertical="center"/>
    </xf>
    <xf numFmtId="0" fontId="88" fillId="0" borderId="0" xfId="8" applyFont="1"/>
    <xf numFmtId="0" fontId="88" fillId="0" borderId="1" xfId="8" applyFont="1" applyBorder="1" applyAlignment="1">
      <alignment vertical="center"/>
    </xf>
    <xf numFmtId="0" fontId="19" fillId="25" borderId="21" xfId="0" applyFont="1" applyFill="1" applyBorder="1" applyAlignment="1">
      <alignment horizontal="center" vertical="center"/>
    </xf>
    <xf numFmtId="44" fontId="15" fillId="16" borderId="18" xfId="0" applyNumberFormat="1" applyFont="1" applyFill="1" applyBorder="1" applyAlignment="1">
      <alignment horizontal="center" vertical="center" wrapText="1"/>
    </xf>
    <xf numFmtId="0" fontId="42" fillId="0" borderId="1" xfId="8" applyFont="1" applyBorder="1" applyAlignment="1">
      <alignment horizontal="center" vertical="center" wrapText="1"/>
    </xf>
    <xf numFmtId="0" fontId="42" fillId="0" borderId="1" xfId="8" applyFont="1" applyBorder="1" applyAlignment="1">
      <alignment horizontal="justify" vertical="justify" wrapText="1"/>
    </xf>
    <xf numFmtId="0" fontId="42" fillId="3" borderId="1" xfId="8" applyFont="1" applyFill="1" applyBorder="1" applyAlignment="1">
      <alignment horizontal="justify" vertical="justify" wrapText="1"/>
    </xf>
    <xf numFmtId="0" fontId="42" fillId="3" borderId="1" xfId="8" applyFont="1" applyFill="1" applyBorder="1" applyAlignment="1">
      <alignment horizontal="center" vertical="center" wrapText="1"/>
    </xf>
    <xf numFmtId="166" fontId="62" fillId="44" borderId="5" xfId="0" applyNumberFormat="1" applyFont="1" applyFill="1" applyBorder="1" applyAlignment="1">
      <alignment horizontal="center" vertical="center"/>
    </xf>
    <xf numFmtId="166" fontId="19" fillId="43" borderId="26" xfId="0" applyNumberFormat="1" applyFont="1" applyFill="1" applyBorder="1" applyAlignment="1">
      <alignment vertical="center"/>
    </xf>
    <xf numFmtId="10" fontId="62" fillId="43" borderId="56" xfId="0" applyNumberFormat="1" applyFont="1" applyFill="1" applyBorder="1" applyAlignment="1">
      <alignment horizontal="center" vertical="center"/>
    </xf>
    <xf numFmtId="10" fontId="106" fillId="43" borderId="5" xfId="10" applyNumberFormat="1" applyFont="1" applyFill="1" applyBorder="1" applyAlignment="1" applyProtection="1">
      <alignment horizontal="center" vertical="center" wrapText="1"/>
    </xf>
    <xf numFmtId="10" fontId="102" fillId="43" borderId="41" xfId="0" applyNumberFormat="1" applyFont="1" applyFill="1" applyBorder="1" applyAlignment="1">
      <alignment horizontal="center" vertical="center"/>
    </xf>
    <xf numFmtId="10" fontId="102" fillId="43" borderId="2" xfId="0" applyNumberFormat="1" applyFont="1" applyFill="1" applyBorder="1" applyAlignment="1">
      <alignment horizontal="center" vertical="center"/>
    </xf>
    <xf numFmtId="10" fontId="102" fillId="16" borderId="18" xfId="0" applyNumberFormat="1" applyFont="1" applyFill="1" applyBorder="1" applyAlignment="1">
      <alignment horizontal="center" vertical="center"/>
    </xf>
    <xf numFmtId="10" fontId="107" fillId="20" borderId="0" xfId="10" applyNumberFormat="1" applyFont="1" applyFill="1" applyBorder="1" applyAlignment="1" applyProtection="1">
      <alignment horizontal="center" vertical="center"/>
    </xf>
    <xf numFmtId="2" fontId="107" fillId="20" borderId="0" xfId="10" applyNumberFormat="1" applyFont="1" applyFill="1" applyBorder="1" applyAlignment="1" applyProtection="1">
      <alignment horizontal="center" vertical="center"/>
    </xf>
    <xf numFmtId="177" fontId="102" fillId="43" borderId="28" xfId="17" applyNumberFormat="1" applyFont="1" applyFill="1" applyBorder="1" applyAlignment="1" applyProtection="1">
      <alignment horizontal="center" vertical="center"/>
    </xf>
    <xf numFmtId="0" fontId="68" fillId="45" borderId="0" xfId="0" applyFont="1" applyFill="1"/>
    <xf numFmtId="0" fontId="68" fillId="3" borderId="0" xfId="0" applyFont="1" applyFill="1"/>
    <xf numFmtId="0" fontId="110" fillId="3" borderId="0" xfId="0" applyFont="1" applyFill="1" applyAlignment="1">
      <alignment horizontal="left" vertical="center"/>
    </xf>
    <xf numFmtId="0" fontId="67" fillId="3" borderId="0" xfId="65" applyFont="1" applyFill="1"/>
    <xf numFmtId="4" fontId="67" fillId="3" borderId="0" xfId="65" applyNumberFormat="1" applyFont="1" applyFill="1"/>
    <xf numFmtId="0" fontId="67" fillId="3" borderId="0" xfId="65" applyFont="1" applyFill="1" applyAlignment="1">
      <alignment horizontal="right"/>
    </xf>
    <xf numFmtId="0" fontId="68" fillId="3" borderId="0" xfId="0" applyFont="1" applyFill="1" applyAlignment="1">
      <alignment horizontal="center"/>
    </xf>
    <xf numFmtId="0" fontId="69" fillId="3" borderId="5" xfId="20" applyFont="1" applyFill="1" applyBorder="1" applyAlignment="1">
      <alignment horizontal="center" vertical="center" wrapText="1"/>
    </xf>
    <xf numFmtId="0" fontId="68" fillId="3" borderId="1" xfId="0" applyFont="1" applyFill="1" applyBorder="1"/>
    <xf numFmtId="0" fontId="69" fillId="3" borderId="18" xfId="20" applyFont="1" applyFill="1" applyBorder="1" applyAlignment="1">
      <alignment horizontal="center" vertical="center" wrapText="1"/>
    </xf>
    <xf numFmtId="0" fontId="69" fillId="3" borderId="1" xfId="20" applyFont="1" applyFill="1" applyBorder="1" applyAlignment="1">
      <alignment horizontal="center" vertical="center" wrapText="1"/>
    </xf>
    <xf numFmtId="0" fontId="111" fillId="0" borderId="1" xfId="0" applyFont="1" applyBorder="1"/>
    <xf numFmtId="0" fontId="97" fillId="3" borderId="1" xfId="20" applyFont="1" applyFill="1" applyBorder="1" applyAlignment="1">
      <alignment horizontal="center" vertical="center" wrapText="1"/>
    </xf>
    <xf numFmtId="181" fontId="69" fillId="3" borderId="1" xfId="20" applyNumberFormat="1" applyFont="1" applyFill="1" applyBorder="1" applyAlignment="1">
      <alignment horizontal="center" vertical="center" wrapText="1"/>
    </xf>
    <xf numFmtId="0" fontId="88" fillId="3" borderId="0" xfId="0" applyFont="1" applyFill="1" applyAlignment="1">
      <alignment horizontal="center"/>
    </xf>
    <xf numFmtId="181" fontId="69" fillId="3" borderId="1" xfId="20" applyNumberFormat="1" applyFont="1" applyFill="1" applyBorder="1" applyAlignment="1">
      <alignment horizontal="center" vertical="center"/>
    </xf>
    <xf numFmtId="0" fontId="68" fillId="3" borderId="0" xfId="20" applyFont="1" applyFill="1" applyAlignment="1">
      <alignment horizontal="center"/>
    </xf>
    <xf numFmtId="0" fontId="68" fillId="3" borderId="1" xfId="0" applyFont="1" applyFill="1" applyBorder="1" applyAlignment="1">
      <alignment vertical="top"/>
    </xf>
    <xf numFmtId="1" fontId="69" fillId="3" borderId="1" xfId="20" applyNumberFormat="1" applyFont="1" applyFill="1" applyBorder="1" applyAlignment="1">
      <alignment horizontal="center" vertical="center" wrapText="1"/>
    </xf>
    <xf numFmtId="1" fontId="68" fillId="3" borderId="1" xfId="20" applyNumberFormat="1" applyFont="1" applyFill="1" applyBorder="1" applyAlignment="1">
      <alignment horizontal="center"/>
    </xf>
    <xf numFmtId="181" fontId="68" fillId="3" borderId="1" xfId="20" applyNumberFormat="1" applyFont="1" applyFill="1" applyBorder="1" applyAlignment="1">
      <alignment horizontal="center"/>
    </xf>
    <xf numFmtId="0" fontId="111" fillId="0" borderId="1" xfId="0" applyFont="1" applyBorder="1" applyAlignment="1">
      <alignment horizontal="center"/>
    </xf>
    <xf numFmtId="0" fontId="112" fillId="0" borderId="1" xfId="0" applyFont="1" applyBorder="1" applyAlignment="1">
      <alignment horizontal="center"/>
    </xf>
    <xf numFmtId="0" fontId="68" fillId="3" borderId="5" xfId="20" applyFont="1" applyFill="1" applyBorder="1" applyAlignment="1">
      <alignment horizontal="left"/>
    </xf>
    <xf numFmtId="0" fontId="68" fillId="3" borderId="5" xfId="20" applyFont="1" applyFill="1" applyBorder="1" applyAlignment="1">
      <alignment horizontal="left" vertical="center" wrapText="1"/>
    </xf>
    <xf numFmtId="0" fontId="92" fillId="45" borderId="0" xfId="0" applyFont="1" applyFill="1" applyAlignment="1">
      <alignment wrapText="1"/>
    </xf>
    <xf numFmtId="169" fontId="38" fillId="3" borderId="59" xfId="10" applyNumberFormat="1" applyFont="1" applyFill="1" applyBorder="1" applyAlignment="1">
      <alignment horizontal="center" vertical="center"/>
    </xf>
    <xf numFmtId="169" fontId="38" fillId="3" borderId="71" xfId="10" applyNumberFormat="1" applyFont="1" applyFill="1" applyBorder="1" applyAlignment="1">
      <alignment horizontal="center" vertical="center"/>
    </xf>
    <xf numFmtId="0" fontId="101" fillId="0" borderId="1" xfId="0" applyFont="1" applyBorder="1" applyAlignment="1">
      <alignment vertical="center" wrapText="1"/>
    </xf>
    <xf numFmtId="0" fontId="67" fillId="3" borderId="1" xfId="8" applyFont="1" applyFill="1" applyBorder="1" applyAlignment="1">
      <alignment horizontal="left" vertical="center"/>
    </xf>
    <xf numFmtId="9" fontId="113" fillId="11" borderId="1" xfId="10" applyFont="1" applyFill="1" applyBorder="1" applyAlignment="1" applyProtection="1">
      <alignment horizontal="center" vertical="center" wrapText="1"/>
    </xf>
    <xf numFmtId="0" fontId="113" fillId="11" borderId="1" xfId="10" applyNumberFormat="1" applyFont="1" applyFill="1" applyBorder="1" applyAlignment="1" applyProtection="1">
      <alignment horizontal="center" vertical="center" wrapText="1"/>
    </xf>
    <xf numFmtId="9" fontId="114" fillId="3" borderId="1" xfId="11" applyFont="1" applyFill="1" applyBorder="1" applyAlignment="1" applyProtection="1">
      <alignment horizontal="center" vertical="center" wrapText="1"/>
    </xf>
    <xf numFmtId="14" fontId="103" fillId="3" borderId="1" xfId="0" applyNumberFormat="1" applyFont="1" applyFill="1" applyBorder="1" applyAlignment="1">
      <alignment horizontal="center" vertical="center" wrapText="1"/>
    </xf>
    <xf numFmtId="44" fontId="103" fillId="5" borderId="1" xfId="4" applyFont="1" applyFill="1" applyBorder="1" applyAlignment="1" applyProtection="1">
      <alignment vertical="center"/>
    </xf>
    <xf numFmtId="180" fontId="103" fillId="38" borderId="1" xfId="24" applyNumberFormat="1" applyFont="1" applyFill="1" applyBorder="1" applyAlignment="1" applyProtection="1">
      <alignment horizontal="left" vertical="center"/>
      <protection locked="0"/>
    </xf>
    <xf numFmtId="180" fontId="103" fillId="38" borderId="1" xfId="24" applyNumberFormat="1" applyFont="1" applyFill="1" applyBorder="1" applyAlignment="1" applyProtection="1">
      <alignment horizontal="center" vertical="center"/>
      <protection locked="0"/>
    </xf>
    <xf numFmtId="0" fontId="103" fillId="3" borderId="5" xfId="8" applyFont="1" applyFill="1" applyBorder="1" applyAlignment="1">
      <alignment horizontal="left" vertical="center"/>
    </xf>
    <xf numFmtId="179" fontId="103" fillId="3" borderId="1" xfId="17" applyNumberFormat="1" applyFont="1" applyFill="1" applyBorder="1" applyAlignment="1" applyProtection="1">
      <alignment horizontal="center" vertical="center"/>
    </xf>
    <xf numFmtId="10" fontId="102" fillId="43" borderId="1" xfId="0" applyNumberFormat="1" applyFont="1" applyFill="1" applyBorder="1" applyAlignment="1">
      <alignment horizontal="center" vertical="center"/>
    </xf>
    <xf numFmtId="181" fontId="69" fillId="27" borderId="1" xfId="20" applyNumberFormat="1" applyFont="1" applyFill="1" applyBorder="1" applyAlignment="1">
      <alignment horizontal="center" vertical="center"/>
    </xf>
    <xf numFmtId="181" fontId="86" fillId="3" borderId="1" xfId="0" applyNumberFormat="1" applyFont="1" applyFill="1" applyBorder="1" applyAlignment="1">
      <alignment horizontal="center" vertical="center"/>
    </xf>
    <xf numFmtId="0" fontId="122" fillId="0" borderId="0" xfId="0" applyFont="1" applyAlignment="1">
      <alignment horizontal="left" vertical="center" wrapText="1"/>
    </xf>
    <xf numFmtId="0" fontId="68" fillId="0" borderId="0" xfId="0" applyFont="1"/>
    <xf numFmtId="0" fontId="40" fillId="0" borderId="21" xfId="0" applyFont="1" applyBorder="1" applyAlignment="1">
      <alignment horizontal="center" vertical="center"/>
    </xf>
    <xf numFmtId="0" fontId="40" fillId="0" borderId="0" xfId="0" applyFont="1" applyAlignment="1">
      <alignment horizontal="center" vertical="center"/>
    </xf>
    <xf numFmtId="0" fontId="38" fillId="0" borderId="5" xfId="0" applyFont="1" applyBorder="1" applyAlignment="1">
      <alignment vertical="center"/>
    </xf>
    <xf numFmtId="0" fontId="98" fillId="0" borderId="18" xfId="8" applyFont="1" applyBorder="1"/>
    <xf numFmtId="0" fontId="125" fillId="0" borderId="0" xfId="0" applyFont="1" applyAlignment="1">
      <alignment vertical="center"/>
    </xf>
    <xf numFmtId="186" fontId="38" fillId="0" borderId="0" xfId="0" applyNumberFormat="1" applyFont="1"/>
    <xf numFmtId="8" fontId="38" fillId="0" borderId="0" xfId="0" applyNumberFormat="1" applyFont="1"/>
    <xf numFmtId="0" fontId="37" fillId="0" borderId="0" xfId="0" applyFont="1" applyAlignment="1">
      <alignment horizontal="justify" vertical="center"/>
    </xf>
    <xf numFmtId="0" fontId="125" fillId="0" borderId="0" xfId="0" applyFont="1" applyAlignment="1">
      <alignment horizontal="justify" vertical="center"/>
    </xf>
    <xf numFmtId="180" fontId="86" fillId="28" borderId="1" xfId="8" applyNumberFormat="1" applyFont="1" applyFill="1" applyBorder="1" applyAlignment="1">
      <alignment horizontal="center" vertical="center" wrapText="1"/>
    </xf>
    <xf numFmtId="180" fontId="86" fillId="22" borderId="1" xfId="8" applyNumberFormat="1"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14" fontId="55" fillId="3" borderId="1" xfId="0" applyNumberFormat="1" applyFont="1" applyFill="1" applyBorder="1" applyAlignment="1">
      <alignment horizontal="center" vertical="center" wrapText="1"/>
    </xf>
    <xf numFmtId="0" fontId="43" fillId="3" borderId="1" xfId="0" applyFont="1" applyFill="1" applyBorder="1" applyAlignment="1">
      <alignment horizontal="center" vertical="center" wrapText="1"/>
    </xf>
    <xf numFmtId="170" fontId="19" fillId="3" borderId="0" xfId="0" applyNumberFormat="1" applyFont="1" applyFill="1" applyAlignment="1">
      <alignment horizontal="center" vertical="center" wrapText="1"/>
    </xf>
    <xf numFmtId="170" fontId="43" fillId="3" borderId="1" xfId="0" applyNumberFormat="1" applyFont="1" applyFill="1" applyBorder="1" applyAlignment="1">
      <alignment horizontal="center" vertical="center" wrapText="1"/>
    </xf>
    <xf numFmtId="170" fontId="19" fillId="3" borderId="1" xfId="0" applyNumberFormat="1" applyFont="1" applyFill="1" applyBorder="1" applyAlignment="1">
      <alignment horizontal="center" vertical="center" wrapText="1"/>
    </xf>
    <xf numFmtId="170" fontId="43" fillId="3" borderId="32" xfId="0" applyNumberFormat="1" applyFont="1" applyFill="1" applyBorder="1" applyAlignment="1">
      <alignment horizontal="center" vertical="center" wrapText="1"/>
    </xf>
    <xf numFmtId="170" fontId="19" fillId="3" borderId="32" xfId="0" applyNumberFormat="1" applyFont="1" applyFill="1" applyBorder="1" applyAlignment="1">
      <alignment horizontal="center" vertical="center" wrapText="1"/>
    </xf>
    <xf numFmtId="170" fontId="43" fillId="3" borderId="39" xfId="0" applyNumberFormat="1" applyFont="1" applyFill="1" applyBorder="1" applyAlignment="1">
      <alignment horizontal="center" vertical="center" wrapText="1"/>
    </xf>
    <xf numFmtId="170" fontId="43" fillId="3" borderId="57" xfId="0" applyNumberFormat="1" applyFont="1" applyFill="1" applyBorder="1" applyAlignment="1">
      <alignment horizontal="center" vertical="center" wrapText="1"/>
    </xf>
    <xf numFmtId="170" fontId="19" fillId="5" borderId="1" xfId="0" applyNumberFormat="1" applyFont="1" applyFill="1" applyBorder="1" applyAlignment="1">
      <alignment horizontal="center" vertical="center" wrapText="1"/>
    </xf>
    <xf numFmtId="0" fontId="19" fillId="3" borderId="20" xfId="0" applyFont="1" applyFill="1" applyBorder="1" applyAlignment="1">
      <alignment horizontal="center" vertical="center" wrapText="1"/>
    </xf>
    <xf numFmtId="170" fontId="43" fillId="3" borderId="4" xfId="0" applyNumberFormat="1" applyFont="1" applyFill="1" applyBorder="1" applyAlignment="1">
      <alignment horizontal="center" vertical="center" wrapText="1"/>
    </xf>
    <xf numFmtId="170" fontId="74" fillId="3" borderId="1" xfId="0" applyNumberFormat="1" applyFont="1" applyFill="1" applyBorder="1" applyAlignment="1">
      <alignment horizontal="center" vertical="center" wrapText="1"/>
    </xf>
    <xf numFmtId="170" fontId="19" fillId="3" borderId="18" xfId="0" applyNumberFormat="1" applyFont="1" applyFill="1" applyBorder="1" applyAlignment="1">
      <alignment horizontal="center" vertical="center" wrapText="1"/>
    </xf>
    <xf numFmtId="170" fontId="43" fillId="3" borderId="2" xfId="0" applyNumberFormat="1" applyFont="1" applyFill="1" applyBorder="1" applyAlignment="1">
      <alignment horizontal="center" vertical="center" wrapText="1"/>
    </xf>
    <xf numFmtId="44" fontId="43" fillId="3" borderId="1" xfId="0" applyNumberFormat="1" applyFont="1" applyFill="1" applyBorder="1" applyAlignment="1">
      <alignment horizontal="center" vertical="center" wrapText="1"/>
    </xf>
    <xf numFmtId="44" fontId="19" fillId="3" borderId="1" xfId="0" applyNumberFormat="1" applyFont="1" applyFill="1" applyBorder="1" applyAlignment="1">
      <alignment vertical="center" wrapText="1"/>
    </xf>
    <xf numFmtId="44" fontId="43" fillId="3" borderId="1" xfId="0" applyNumberFormat="1" applyFont="1" applyFill="1" applyBorder="1" applyAlignment="1">
      <alignment vertical="center" wrapText="1"/>
    </xf>
    <xf numFmtId="44" fontId="43" fillId="3" borderId="18" xfId="0" applyNumberFormat="1" applyFont="1" applyFill="1" applyBorder="1" applyAlignment="1">
      <alignment vertical="center" wrapText="1"/>
    </xf>
    <xf numFmtId="10" fontId="59" fillId="3" borderId="18" xfId="0" applyNumberFormat="1" applyFont="1" applyFill="1" applyBorder="1" applyAlignment="1">
      <alignment horizontal="center" vertical="center" wrapText="1"/>
    </xf>
    <xf numFmtId="44" fontId="19" fillId="3" borderId="1" xfId="0" applyNumberFormat="1" applyFont="1" applyFill="1" applyBorder="1" applyAlignment="1">
      <alignment horizontal="center" vertical="center" wrapText="1"/>
    </xf>
    <xf numFmtId="44" fontId="19" fillId="3" borderId="1" xfId="4" applyFont="1" applyFill="1" applyBorder="1" applyAlignment="1" applyProtection="1">
      <alignment horizontal="center" vertical="center" wrapText="1"/>
    </xf>
    <xf numFmtId="44" fontId="43" fillId="3" borderId="1" xfId="4" applyFont="1" applyFill="1" applyBorder="1" applyAlignment="1" applyProtection="1">
      <alignment horizontal="center" vertical="center" wrapText="1"/>
    </xf>
    <xf numFmtId="44" fontId="43" fillId="3" borderId="20" xfId="4" applyFont="1" applyFill="1" applyBorder="1" applyAlignment="1" applyProtection="1">
      <alignment horizontal="center" vertical="center" wrapText="1"/>
    </xf>
    <xf numFmtId="14" fontId="55" fillId="3" borderId="0" xfId="0" applyNumberFormat="1" applyFont="1" applyFill="1" applyAlignment="1">
      <alignment horizontal="center" vertical="center" wrapText="1"/>
    </xf>
    <xf numFmtId="167" fontId="43" fillId="3" borderId="0" xfId="0" applyNumberFormat="1" applyFont="1" applyFill="1" applyAlignment="1">
      <alignment horizontal="center" vertical="center" wrapText="1"/>
    </xf>
    <xf numFmtId="0" fontId="67" fillId="3" borderId="1" xfId="8" applyFont="1" applyFill="1" applyBorder="1" applyAlignment="1">
      <alignment horizontal="center" vertical="center" wrapText="1"/>
    </xf>
    <xf numFmtId="0" fontId="68" fillId="3" borderId="55" xfId="0" applyFont="1" applyFill="1" applyBorder="1" applyAlignment="1">
      <alignment horizontal="center" vertical="center" wrapText="1"/>
    </xf>
    <xf numFmtId="0" fontId="68" fillId="3" borderId="1" xfId="8" applyFont="1" applyFill="1" applyBorder="1" applyAlignment="1">
      <alignment horizontal="center" vertical="center" wrapText="1"/>
    </xf>
    <xf numFmtId="0" fontId="68" fillId="3" borderId="65" xfId="0" applyFont="1" applyFill="1" applyBorder="1" applyAlignment="1">
      <alignment horizontal="center" vertical="center" wrapText="1"/>
    </xf>
    <xf numFmtId="0" fontId="67" fillId="3" borderId="65" xfId="0" applyFont="1" applyFill="1" applyBorder="1" applyAlignment="1">
      <alignment horizontal="center" vertical="center" wrapText="1"/>
    </xf>
    <xf numFmtId="0" fontId="67" fillId="3" borderId="1" xfId="0" applyFont="1" applyFill="1" applyBorder="1" applyAlignment="1">
      <alignment horizontal="center" vertical="center" wrapText="1"/>
    </xf>
    <xf numFmtId="0" fontId="98" fillId="3" borderId="1" xfId="8" applyFont="1" applyFill="1" applyBorder="1" applyAlignment="1">
      <alignment horizontal="center" vertical="center"/>
    </xf>
    <xf numFmtId="0" fontId="99" fillId="3" borderId="1" xfId="8" applyFont="1" applyFill="1" applyBorder="1" applyAlignment="1">
      <alignment vertical="center"/>
    </xf>
    <xf numFmtId="0" fontId="99" fillId="3" borderId="1" xfId="8" applyFont="1" applyFill="1" applyBorder="1" applyAlignment="1">
      <alignment horizontal="center" vertical="center"/>
    </xf>
    <xf numFmtId="0" fontId="67" fillId="3" borderId="1" xfId="8" applyFont="1" applyFill="1" applyBorder="1" applyAlignment="1">
      <alignment horizontal="left" vertical="center" wrapText="1"/>
    </xf>
    <xf numFmtId="0" fontId="67" fillId="3" borderId="1" xfId="8" applyFont="1" applyFill="1" applyBorder="1" applyAlignment="1">
      <alignment horizontal="left" vertical="justify" wrapText="1"/>
    </xf>
    <xf numFmtId="0" fontId="67" fillId="3" borderId="1" xfId="8" applyFont="1" applyFill="1" applyBorder="1" applyAlignment="1">
      <alignment horizontal="left" vertical="justify"/>
    </xf>
    <xf numFmtId="0" fontId="92" fillId="48" borderId="1" xfId="8" applyFont="1" applyFill="1" applyBorder="1" applyAlignment="1">
      <alignment horizontal="center" vertical="center"/>
    </xf>
    <xf numFmtId="0" fontId="92" fillId="48" borderId="1" xfId="8" applyFont="1" applyFill="1" applyBorder="1" applyAlignment="1">
      <alignment horizontal="center" vertical="center" wrapText="1"/>
    </xf>
    <xf numFmtId="0" fontId="92" fillId="48" borderId="1" xfId="0" applyFont="1" applyFill="1" applyBorder="1" applyAlignment="1">
      <alignment horizontal="center" vertical="center" wrapText="1"/>
    </xf>
    <xf numFmtId="0" fontId="131" fillId="45" borderId="0" xfId="0" applyFont="1" applyFill="1"/>
    <xf numFmtId="0" fontId="134" fillId="35" borderId="1" xfId="0" applyFont="1" applyFill="1" applyBorder="1" applyAlignment="1">
      <alignment horizontal="center" vertical="center" wrapText="1"/>
    </xf>
    <xf numFmtId="0" fontId="132" fillId="42" borderId="89" xfId="0" applyFont="1" applyFill="1" applyBorder="1" applyAlignment="1">
      <alignment horizontal="center" vertical="center" wrapText="1"/>
    </xf>
    <xf numFmtId="0" fontId="132" fillId="42" borderId="91" xfId="0" applyFont="1" applyFill="1" applyBorder="1" applyAlignment="1">
      <alignment horizontal="center" vertical="center" wrapText="1"/>
    </xf>
    <xf numFmtId="0" fontId="135" fillId="42" borderId="91" xfId="0" applyFont="1" applyFill="1" applyBorder="1" applyAlignment="1">
      <alignment horizontal="center" vertical="center" wrapText="1"/>
    </xf>
    <xf numFmtId="0" fontId="136" fillId="3" borderId="1" xfId="0" applyFont="1" applyFill="1" applyBorder="1" applyAlignment="1">
      <alignment horizontal="left" vertical="center" wrapText="1"/>
    </xf>
    <xf numFmtId="0" fontId="136" fillId="3" borderId="1" xfId="0" applyFont="1" applyFill="1" applyBorder="1"/>
    <xf numFmtId="0" fontId="136" fillId="3" borderId="1" xfId="0" applyFont="1" applyFill="1" applyBorder="1" applyAlignment="1">
      <alignment horizontal="center" vertical="center" wrapText="1"/>
    </xf>
    <xf numFmtId="0" fontId="136" fillId="3" borderId="1" xfId="0" applyFont="1" applyFill="1" applyBorder="1" applyAlignment="1">
      <alignment horizontal="right" vertical="center" wrapText="1"/>
    </xf>
    <xf numFmtId="170" fontId="136" fillId="3" borderId="1" xfId="0" applyNumberFormat="1" applyFont="1" applyFill="1" applyBorder="1" applyAlignment="1">
      <alignment horizontal="right" vertical="center" wrapText="1"/>
    </xf>
    <xf numFmtId="44" fontId="136" fillId="3" borderId="1" xfId="4" applyFont="1" applyFill="1" applyBorder="1" applyAlignment="1">
      <alignment horizontal="right" vertical="center" wrapText="1"/>
    </xf>
    <xf numFmtId="0" fontId="136" fillId="3" borderId="1" xfId="0" applyFont="1" applyFill="1" applyBorder="1" applyAlignment="1">
      <alignment horizontal="right"/>
    </xf>
    <xf numFmtId="0" fontId="136" fillId="3" borderId="1" xfId="0" applyFont="1" applyFill="1" applyBorder="1" applyAlignment="1">
      <alignment horizontal="right" vertical="center"/>
    </xf>
    <xf numFmtId="0" fontId="134" fillId="35" borderId="1" xfId="0" applyFont="1" applyFill="1" applyBorder="1" applyAlignment="1">
      <alignment horizontal="left" vertical="center" wrapText="1"/>
    </xf>
    <xf numFmtId="0" fontId="137" fillId="0" borderId="1" xfId="0" applyFont="1" applyBorder="1"/>
    <xf numFmtId="0" fontId="136" fillId="3" borderId="1" xfId="0" applyFont="1" applyFill="1" applyBorder="1" applyAlignment="1">
      <alignment horizontal="left" wrapText="1"/>
    </xf>
    <xf numFmtId="170" fontId="134" fillId="36" borderId="1" xfId="0" applyNumberFormat="1" applyFont="1" applyFill="1" applyBorder="1" applyAlignment="1">
      <alignment horizontal="right" vertical="center" wrapText="1"/>
    </xf>
    <xf numFmtId="44" fontId="138" fillId="0" borderId="81" xfId="4" applyFont="1" applyFill="1" applyBorder="1"/>
    <xf numFmtId="0" fontId="131" fillId="3" borderId="0" xfId="0" applyFont="1" applyFill="1"/>
    <xf numFmtId="4" fontId="129" fillId="3" borderId="93" xfId="65" applyNumberFormat="1" applyFont="1" applyFill="1" applyBorder="1" applyAlignment="1">
      <alignment horizontal="center" vertical="center"/>
    </xf>
    <xf numFmtId="0" fontId="130" fillId="3" borderId="1" xfId="65" applyFont="1" applyFill="1" applyBorder="1" applyAlignment="1">
      <alignment vertical="center"/>
    </xf>
    <xf numFmtId="10" fontId="130" fillId="3" borderId="93" xfId="65" applyNumberFormat="1" applyFont="1" applyFill="1" applyBorder="1" applyAlignment="1">
      <alignment horizontal="center" vertical="center"/>
    </xf>
    <xf numFmtId="10" fontId="129" fillId="3" borderId="93" xfId="65" applyNumberFormat="1" applyFont="1" applyFill="1" applyBorder="1" applyAlignment="1">
      <alignment horizontal="center" vertical="center"/>
    </xf>
    <xf numFmtId="10" fontId="130" fillId="3" borderId="93" xfId="66" applyNumberFormat="1" applyFont="1" applyFill="1" applyBorder="1" applyAlignment="1">
      <alignment horizontal="center" vertical="center"/>
    </xf>
    <xf numFmtId="10" fontId="130" fillId="3" borderId="96" xfId="65" applyNumberFormat="1" applyFont="1" applyFill="1" applyBorder="1" applyAlignment="1">
      <alignment horizontal="center" vertical="center"/>
    </xf>
    <xf numFmtId="0" fontId="130" fillId="3" borderId="0" xfId="65" applyFont="1" applyFill="1"/>
    <xf numFmtId="4" fontId="130" fillId="3" borderId="0" xfId="65" applyNumberFormat="1" applyFont="1" applyFill="1"/>
    <xf numFmtId="9" fontId="43" fillId="0" borderId="1" xfId="10" applyFont="1" applyFill="1" applyBorder="1" applyAlignment="1" applyProtection="1">
      <alignment horizontal="center" vertical="center" wrapText="1"/>
    </xf>
    <xf numFmtId="187" fontId="38" fillId="0" borderId="0" xfId="0" applyNumberFormat="1" applyFont="1"/>
    <xf numFmtId="170" fontId="16" fillId="16" borderId="1" xfId="0" applyNumberFormat="1" applyFont="1" applyFill="1" applyBorder="1" applyAlignment="1">
      <alignment horizontal="center" vertical="center" wrapText="1"/>
    </xf>
    <xf numFmtId="170" fontId="42" fillId="0" borderId="1" xfId="8" applyNumberFormat="1" applyFont="1" applyBorder="1" applyAlignment="1">
      <alignment horizontal="center" vertical="center" wrapText="1"/>
    </xf>
    <xf numFmtId="170" fontId="55" fillId="0" borderId="1" xfId="0" applyNumberFormat="1" applyFont="1" applyBorder="1" applyAlignment="1">
      <alignment horizontal="center" vertical="center" wrapText="1"/>
    </xf>
    <xf numFmtId="170" fontId="43" fillId="19" borderId="1" xfId="0" applyNumberFormat="1" applyFont="1" applyFill="1" applyBorder="1" applyAlignment="1">
      <alignment horizontal="center" vertical="center" wrapText="1"/>
    </xf>
    <xf numFmtId="170" fontId="37" fillId="3" borderId="0" xfId="0" applyNumberFormat="1" applyFont="1" applyFill="1"/>
    <xf numFmtId="170" fontId="19" fillId="19" borderId="20" xfId="0" applyNumberFormat="1" applyFont="1" applyFill="1" applyBorder="1" applyAlignment="1">
      <alignment horizontal="center" vertical="center" wrapText="1"/>
    </xf>
    <xf numFmtId="170" fontId="19" fillId="16" borderId="1" xfId="0" applyNumberFormat="1" applyFont="1" applyFill="1" applyBorder="1" applyAlignment="1">
      <alignment vertical="center" wrapText="1"/>
    </xf>
    <xf numFmtId="170" fontId="43" fillId="16" borderId="1" xfId="0" applyNumberFormat="1" applyFont="1" applyFill="1" applyBorder="1" applyAlignment="1">
      <alignment vertical="center" wrapText="1"/>
    </xf>
    <xf numFmtId="170" fontId="43" fillId="16" borderId="18" xfId="0" applyNumberFormat="1" applyFont="1" applyFill="1" applyBorder="1" applyAlignment="1">
      <alignment vertical="center" wrapText="1"/>
    </xf>
    <xf numFmtId="170" fontId="59" fillId="16" borderId="18" xfId="0" applyNumberFormat="1" applyFont="1" applyFill="1" applyBorder="1" applyAlignment="1">
      <alignment horizontal="center" vertical="center" wrapText="1"/>
    </xf>
    <xf numFmtId="170" fontId="19" fillId="19" borderId="1" xfId="4" applyNumberFormat="1" applyFont="1" applyFill="1" applyBorder="1" applyAlignment="1" applyProtection="1">
      <alignment horizontal="center" vertical="center" wrapText="1"/>
    </xf>
    <xf numFmtId="170" fontId="43" fillId="16" borderId="20" xfId="4" applyNumberFormat="1" applyFont="1" applyFill="1" applyBorder="1" applyAlignment="1" applyProtection="1">
      <alignment horizontal="center" vertical="center" wrapText="1"/>
    </xf>
    <xf numFmtId="170" fontId="43" fillId="19" borderId="1" xfId="4" applyNumberFormat="1" applyFont="1" applyFill="1" applyBorder="1" applyAlignment="1" applyProtection="1">
      <alignment horizontal="center" vertical="center" wrapText="1"/>
    </xf>
    <xf numFmtId="170" fontId="43" fillId="3" borderId="0" xfId="4" applyNumberFormat="1" applyFont="1" applyFill="1" applyBorder="1" applyAlignment="1" applyProtection="1">
      <alignment horizontal="center" vertical="center" wrapText="1"/>
    </xf>
    <xf numFmtId="170" fontId="19" fillId="11" borderId="0" xfId="4" applyNumberFormat="1" applyFont="1" applyFill="1" applyBorder="1" applyAlignment="1" applyProtection="1">
      <alignment horizontal="center" vertical="center" wrapText="1"/>
    </xf>
    <xf numFmtId="170" fontId="43" fillId="3" borderId="0" xfId="0" applyNumberFormat="1" applyFont="1" applyFill="1" applyAlignment="1">
      <alignment vertical="center" wrapText="1"/>
    </xf>
    <xf numFmtId="170" fontId="55" fillId="16" borderId="0" xfId="0" applyNumberFormat="1" applyFont="1" applyFill="1" applyAlignment="1">
      <alignment horizontal="center" vertical="center" wrapText="1"/>
    </xf>
    <xf numFmtId="170" fontId="43" fillId="16" borderId="0" xfId="0" applyNumberFormat="1" applyFont="1" applyFill="1" applyAlignment="1">
      <alignment horizontal="center" vertical="center" wrapText="1"/>
    </xf>
    <xf numFmtId="170" fontId="15" fillId="16" borderId="20" xfId="0" applyNumberFormat="1" applyFont="1" applyFill="1" applyBorder="1" applyAlignment="1">
      <alignment horizontal="center" vertical="center" wrapText="1"/>
    </xf>
    <xf numFmtId="170" fontId="43" fillId="16" borderId="0" xfId="0" applyNumberFormat="1" applyFont="1" applyFill="1" applyAlignment="1">
      <alignment vertical="center" wrapText="1"/>
    </xf>
    <xf numFmtId="170" fontId="50" fillId="16" borderId="20" xfId="0" applyNumberFormat="1" applyFont="1" applyFill="1" applyBorder="1" applyAlignment="1">
      <alignment horizontal="center" vertical="center" wrapText="1"/>
    </xf>
    <xf numFmtId="170" fontId="43" fillId="16" borderId="20" xfId="0" applyNumberFormat="1" applyFont="1" applyFill="1" applyBorder="1" applyAlignment="1">
      <alignment horizontal="center" vertical="center" wrapText="1"/>
    </xf>
    <xf numFmtId="170" fontId="43" fillId="16" borderId="21" xfId="0" applyNumberFormat="1" applyFont="1" applyFill="1" applyBorder="1" applyAlignment="1">
      <alignment horizontal="center" vertical="center" wrapText="1"/>
    </xf>
    <xf numFmtId="170" fontId="15" fillId="16" borderId="5" xfId="0" applyNumberFormat="1" applyFont="1" applyFill="1" applyBorder="1" applyAlignment="1">
      <alignment horizontal="center" vertical="center" wrapText="1"/>
    </xf>
    <xf numFmtId="170" fontId="15" fillId="16" borderId="1" xfId="0" applyNumberFormat="1" applyFont="1" applyFill="1" applyBorder="1" applyAlignment="1">
      <alignment horizontal="center" vertical="center" wrapText="1"/>
    </xf>
    <xf numFmtId="0" fontId="1" fillId="0" borderId="0" xfId="0" applyFont="1" applyAlignment="1">
      <alignment vertical="center" wrapText="1"/>
    </xf>
    <xf numFmtId="188" fontId="68" fillId="3" borderId="1" xfId="20" applyNumberFormat="1" applyFont="1" applyFill="1" applyBorder="1" applyAlignment="1">
      <alignment horizontal="center" vertical="center"/>
    </xf>
    <xf numFmtId="188" fontId="69" fillId="27" borderId="1" xfId="20" applyNumberFormat="1" applyFont="1" applyFill="1" applyBorder="1" applyAlignment="1">
      <alignment horizontal="center" vertical="center"/>
    </xf>
    <xf numFmtId="188" fontId="69" fillId="3" borderId="1" xfId="20" applyNumberFormat="1" applyFont="1" applyFill="1" applyBorder="1" applyAlignment="1">
      <alignment horizontal="center" vertical="center" wrapText="1"/>
    </xf>
    <xf numFmtId="188" fontId="69" fillId="3" borderId="1" xfId="20" applyNumberFormat="1" applyFont="1" applyFill="1" applyBorder="1" applyAlignment="1">
      <alignment horizontal="center" vertical="center"/>
    </xf>
    <xf numFmtId="180" fontId="86" fillId="28" borderId="1" xfId="5" applyNumberFormat="1" applyFont="1" applyFill="1" applyBorder="1" applyAlignment="1">
      <alignment horizontal="center" vertical="center"/>
    </xf>
    <xf numFmtId="0" fontId="129" fillId="3" borderId="92" xfId="65" applyFont="1" applyFill="1" applyBorder="1" applyAlignment="1">
      <alignment horizontal="center" vertical="center"/>
    </xf>
    <xf numFmtId="0" fontId="129" fillId="3" borderId="1" xfId="65" applyFont="1" applyFill="1" applyBorder="1" applyAlignment="1">
      <alignment horizontal="center" vertical="center"/>
    </xf>
    <xf numFmtId="0" fontId="130" fillId="3" borderId="92" xfId="65" applyFont="1" applyFill="1" applyBorder="1" applyAlignment="1">
      <alignment horizontal="center" vertical="center"/>
    </xf>
    <xf numFmtId="0" fontId="130" fillId="3" borderId="1" xfId="65" applyFont="1" applyFill="1" applyBorder="1" applyAlignment="1">
      <alignment horizontal="center" vertical="center"/>
    </xf>
    <xf numFmtId="168" fontId="43" fillId="16" borderId="0" xfId="0" applyNumberFormat="1" applyFont="1" applyFill="1" applyAlignment="1">
      <alignment horizontal="center" vertical="center" wrapText="1"/>
    </xf>
    <xf numFmtId="44" fontId="43" fillId="16" borderId="20" xfId="0" applyNumberFormat="1" applyFont="1" applyFill="1" applyBorder="1" applyAlignment="1">
      <alignment horizontal="center" vertical="center" wrapText="1"/>
    </xf>
    <xf numFmtId="44" fontId="43" fillId="16" borderId="1" xfId="0" applyNumberFormat="1" applyFont="1" applyFill="1" applyBorder="1" applyAlignment="1">
      <alignment horizontal="center" vertical="center" wrapText="1"/>
    </xf>
    <xf numFmtId="44" fontId="43" fillId="16" borderId="21" xfId="0" applyNumberFormat="1" applyFont="1" applyFill="1" applyBorder="1" applyAlignment="1">
      <alignment horizontal="center" vertical="center" wrapText="1"/>
    </xf>
    <xf numFmtId="44" fontId="50" fillId="16" borderId="20" xfId="0" applyNumberFormat="1" applyFont="1" applyFill="1" applyBorder="1" applyAlignment="1">
      <alignment horizontal="center" vertical="center" wrapText="1"/>
    </xf>
    <xf numFmtId="44" fontId="15" fillId="16" borderId="5" xfId="0" applyNumberFormat="1" applyFont="1" applyFill="1" applyBorder="1" applyAlignment="1">
      <alignment horizontal="center" vertical="center" wrapText="1"/>
    </xf>
    <xf numFmtId="44" fontId="15" fillId="16" borderId="20" xfId="0" applyNumberFormat="1" applyFont="1" applyFill="1" applyBorder="1" applyAlignment="1">
      <alignment horizontal="center" vertical="center" wrapText="1"/>
    </xf>
    <xf numFmtId="44" fontId="15" fillId="16" borderId="1" xfId="0" applyNumberFormat="1" applyFont="1" applyFill="1" applyBorder="1" applyAlignment="1">
      <alignment horizontal="center" vertical="center" wrapText="1"/>
    </xf>
    <xf numFmtId="0" fontId="67" fillId="3" borderId="2" xfId="8" applyFont="1" applyFill="1" applyBorder="1" applyAlignment="1">
      <alignment horizontal="center" vertical="center"/>
    </xf>
    <xf numFmtId="191" fontId="69" fillId="28" borderId="1" xfId="8" applyNumberFormat="1" applyFont="1" applyFill="1" applyBorder="1" applyAlignment="1">
      <alignment horizontal="center" vertical="center" wrapText="1"/>
    </xf>
    <xf numFmtId="191" fontId="69" fillId="22" borderId="1" xfId="8" applyNumberFormat="1" applyFont="1" applyFill="1" applyBorder="1" applyAlignment="1">
      <alignment horizontal="center" vertical="center" wrapText="1"/>
    </xf>
    <xf numFmtId="0" fontId="123" fillId="5" borderId="21" xfId="0" applyFont="1" applyFill="1" applyBorder="1" applyAlignment="1">
      <alignment horizontal="center" vertical="center"/>
    </xf>
    <xf numFmtId="0" fontId="130" fillId="3" borderId="0" xfId="65" applyFont="1" applyFill="1" applyAlignment="1">
      <alignment horizontal="center"/>
    </xf>
    <xf numFmtId="0" fontId="129" fillId="3" borderId="92" xfId="65" applyFont="1" applyFill="1" applyBorder="1" applyAlignment="1">
      <alignment horizontal="right" vertical="center"/>
    </xf>
    <xf numFmtId="0" fontId="129" fillId="3" borderId="1" xfId="65" applyFont="1" applyFill="1" applyBorder="1" applyAlignment="1">
      <alignment horizontal="right" vertical="center"/>
    </xf>
    <xf numFmtId="0" fontId="129" fillId="3" borderId="92" xfId="65" applyFont="1" applyFill="1" applyBorder="1" applyAlignment="1">
      <alignment horizontal="center" vertical="center"/>
    </xf>
    <xf numFmtId="0" fontId="129" fillId="3" borderId="1" xfId="65" applyFont="1" applyFill="1" applyBorder="1" applyAlignment="1">
      <alignment horizontal="center" vertical="center"/>
    </xf>
    <xf numFmtId="0" fontId="129" fillId="3" borderId="93" xfId="65" applyFont="1" applyFill="1" applyBorder="1" applyAlignment="1">
      <alignment horizontal="center" vertical="center"/>
    </xf>
    <xf numFmtId="0" fontId="130" fillId="3" borderId="92" xfId="65" applyFont="1" applyFill="1" applyBorder="1" applyAlignment="1">
      <alignment horizontal="center" vertical="center"/>
    </xf>
    <xf numFmtId="0" fontId="130" fillId="3" borderId="1" xfId="65" applyFont="1" applyFill="1" applyBorder="1" applyAlignment="1">
      <alignment horizontal="center" vertical="center"/>
    </xf>
    <xf numFmtId="0" fontId="129" fillId="3" borderId="92" xfId="65" applyFont="1" applyFill="1" applyBorder="1" applyAlignment="1">
      <alignment horizontal="center"/>
    </xf>
    <xf numFmtId="0" fontId="129" fillId="3" borderId="1" xfId="65" applyFont="1" applyFill="1" applyBorder="1" applyAlignment="1">
      <alignment horizontal="center"/>
    </xf>
    <xf numFmtId="0" fontId="129" fillId="3" borderId="93" xfId="65" applyFont="1" applyFill="1" applyBorder="1" applyAlignment="1">
      <alignment horizontal="center"/>
    </xf>
    <xf numFmtId="49" fontId="129" fillId="3" borderId="92" xfId="65" applyNumberFormat="1" applyFont="1" applyFill="1" applyBorder="1" applyAlignment="1">
      <alignment horizontal="center"/>
    </xf>
    <xf numFmtId="49" fontId="129" fillId="3" borderId="1" xfId="65" applyNumberFormat="1" applyFont="1" applyFill="1" applyBorder="1" applyAlignment="1">
      <alignment horizontal="center"/>
    </xf>
    <xf numFmtId="49" fontId="129" fillId="3" borderId="93" xfId="65" applyNumberFormat="1" applyFont="1" applyFill="1" applyBorder="1" applyAlignment="1">
      <alignment horizontal="center"/>
    </xf>
    <xf numFmtId="0" fontId="129" fillId="3" borderId="0" xfId="65" applyFont="1" applyFill="1" applyAlignment="1">
      <alignment horizontal="center"/>
    </xf>
    <xf numFmtId="0" fontId="122" fillId="45" borderId="0" xfId="0" applyFont="1" applyFill="1" applyAlignment="1">
      <alignment horizontal="left" vertical="center" wrapText="1"/>
    </xf>
    <xf numFmtId="0" fontId="141" fillId="3" borderId="97" xfId="0" applyFont="1" applyFill="1" applyBorder="1" applyAlignment="1">
      <alignment horizontal="center" vertical="center"/>
    </xf>
    <xf numFmtId="0" fontId="141" fillId="3" borderId="98" xfId="0" applyFont="1" applyFill="1" applyBorder="1" applyAlignment="1">
      <alignment horizontal="center" vertical="center"/>
    </xf>
    <xf numFmtId="0" fontId="141" fillId="3" borderId="99" xfId="0" applyFont="1" applyFill="1" applyBorder="1" applyAlignment="1">
      <alignment horizontal="center" vertical="center"/>
    </xf>
    <xf numFmtId="0" fontId="130" fillId="3" borderId="93" xfId="65" applyFont="1" applyFill="1" applyBorder="1" applyAlignment="1">
      <alignment horizontal="center" vertical="center"/>
    </xf>
    <xf numFmtId="0" fontId="130" fillId="3" borderId="94" xfId="65" applyFont="1" applyFill="1" applyBorder="1" applyAlignment="1">
      <alignment horizontal="center" vertical="center"/>
    </xf>
    <xf numFmtId="0" fontId="130" fillId="3" borderId="95" xfId="65" applyFont="1" applyFill="1" applyBorder="1" applyAlignment="1">
      <alignment horizontal="center" vertical="center"/>
    </xf>
    <xf numFmtId="0" fontId="129" fillId="3" borderId="100" xfId="65" applyFont="1" applyFill="1" applyBorder="1" applyAlignment="1">
      <alignment horizontal="center"/>
    </xf>
    <xf numFmtId="0" fontId="129" fillId="3" borderId="20" xfId="65" applyFont="1" applyFill="1" applyBorder="1" applyAlignment="1">
      <alignment horizontal="center"/>
    </xf>
    <xf numFmtId="0" fontId="129" fillId="3" borderId="101" xfId="65" applyFont="1" applyFill="1" applyBorder="1" applyAlignment="1">
      <alignment horizontal="center"/>
    </xf>
    <xf numFmtId="0" fontId="69" fillId="3" borderId="5" xfId="20" applyFont="1" applyFill="1" applyBorder="1" applyAlignment="1">
      <alignment horizontal="left" vertical="center"/>
    </xf>
    <xf numFmtId="0" fontId="69" fillId="3" borderId="20" xfId="20" applyFont="1" applyFill="1" applyBorder="1" applyAlignment="1">
      <alignment horizontal="left" vertical="center"/>
    </xf>
    <xf numFmtId="0" fontId="69" fillId="3" borderId="18" xfId="20" applyFont="1" applyFill="1" applyBorder="1" applyAlignment="1">
      <alignment horizontal="left" vertical="center"/>
    </xf>
    <xf numFmtId="0" fontId="86" fillId="3" borderId="5" xfId="0" applyFont="1" applyFill="1" applyBorder="1" applyAlignment="1">
      <alignment horizontal="left" vertical="center"/>
    </xf>
    <xf numFmtId="0" fontId="86" fillId="3" borderId="20" xfId="0" applyFont="1" applyFill="1" applyBorder="1" applyAlignment="1">
      <alignment horizontal="left" vertical="center"/>
    </xf>
    <xf numFmtId="0" fontId="86" fillId="3" borderId="18" xfId="0" applyFont="1" applyFill="1" applyBorder="1" applyAlignment="1">
      <alignment horizontal="left" vertical="center"/>
    </xf>
    <xf numFmtId="0" fontId="126" fillId="46" borderId="5" xfId="0" applyFont="1" applyFill="1" applyBorder="1" applyAlignment="1">
      <alignment horizontal="center" vertical="center" wrapText="1"/>
    </xf>
    <xf numFmtId="0" fontId="126" fillId="46" borderId="20" xfId="0" applyFont="1" applyFill="1" applyBorder="1" applyAlignment="1">
      <alignment horizontal="center" vertical="center" wrapText="1"/>
    </xf>
    <xf numFmtId="0" fontId="40" fillId="0" borderId="86" xfId="18" applyFont="1" applyFill="1" applyBorder="1" applyAlignment="1">
      <alignment horizontal="right"/>
    </xf>
    <xf numFmtId="0" fontId="40" fillId="0" borderId="87" xfId="18" applyFont="1" applyFill="1" applyBorder="1" applyAlignment="1">
      <alignment horizontal="right"/>
    </xf>
    <xf numFmtId="0" fontId="40" fillId="0" borderId="79" xfId="18" applyFont="1" applyFill="1" applyBorder="1" applyAlignment="1">
      <alignment horizontal="right"/>
    </xf>
    <xf numFmtId="0" fontId="134" fillId="36" borderId="0" xfId="0" applyFont="1" applyFill="1" applyAlignment="1">
      <alignment horizontal="right" vertical="center" wrapText="1"/>
    </xf>
    <xf numFmtId="0" fontId="138" fillId="0" borderId="80" xfId="18" applyFont="1" applyFill="1" applyBorder="1" applyAlignment="1">
      <alignment horizontal="right"/>
    </xf>
    <xf numFmtId="0" fontId="138" fillId="0" borderId="18" xfId="18" applyFont="1" applyFill="1" applyBorder="1" applyAlignment="1">
      <alignment horizontal="right"/>
    </xf>
    <xf numFmtId="0" fontId="138" fillId="0" borderId="1" xfId="18" applyFont="1" applyFill="1" applyBorder="1" applyAlignment="1">
      <alignment horizontal="right"/>
    </xf>
    <xf numFmtId="0" fontId="134" fillId="35" borderId="1" xfId="0" applyFont="1" applyFill="1" applyBorder="1" applyAlignment="1">
      <alignment horizontal="center" vertical="center" wrapText="1"/>
    </xf>
    <xf numFmtId="0" fontId="132" fillId="45" borderId="0" xfId="0" applyFont="1" applyFill="1" applyAlignment="1">
      <alignment horizontal="left" vertical="center" wrapText="1"/>
    </xf>
    <xf numFmtId="0" fontId="133" fillId="41" borderId="3" xfId="0" applyFont="1" applyFill="1" applyBorder="1" applyAlignment="1">
      <alignment horizontal="center" vertical="center" wrapText="1"/>
    </xf>
    <xf numFmtId="0" fontId="133" fillId="41" borderId="0" xfId="0" applyFont="1" applyFill="1" applyAlignment="1">
      <alignment horizontal="center" vertical="center" wrapText="1"/>
    </xf>
    <xf numFmtId="0" fontId="134" fillId="0" borderId="21" xfId="0" applyFont="1" applyBorder="1" applyAlignment="1">
      <alignment horizontal="center" vertical="center"/>
    </xf>
    <xf numFmtId="170" fontId="43" fillId="0" borderId="2" xfId="0" applyNumberFormat="1" applyFont="1" applyBorder="1" applyAlignment="1">
      <alignment horizontal="center" vertical="center" wrapText="1"/>
    </xf>
    <xf numFmtId="170" fontId="43" fillId="0" borderId="4" xfId="0" applyNumberFormat="1" applyFont="1" applyBorder="1" applyAlignment="1">
      <alignment horizontal="center" vertical="center" wrapText="1"/>
    </xf>
    <xf numFmtId="0" fontId="43" fillId="0" borderId="2" xfId="0" applyFont="1" applyBorder="1" applyAlignment="1">
      <alignment horizontal="center" vertical="center" wrapText="1"/>
    </xf>
    <xf numFmtId="0" fontId="43" fillId="0" borderId="4" xfId="0" applyFont="1" applyBorder="1" applyAlignment="1">
      <alignment horizontal="center" vertical="center" wrapText="1"/>
    </xf>
    <xf numFmtId="44" fontId="50" fillId="16" borderId="5" xfId="0" applyNumberFormat="1" applyFont="1" applyFill="1" applyBorder="1" applyAlignment="1">
      <alignment horizontal="center" vertical="center" wrapText="1"/>
    </xf>
    <xf numFmtId="44" fontId="50" fillId="16" borderId="20" xfId="0" applyNumberFormat="1" applyFont="1" applyFill="1" applyBorder="1" applyAlignment="1">
      <alignment horizontal="center" vertical="center" wrapText="1"/>
    </xf>
    <xf numFmtId="44" fontId="50" fillId="0" borderId="20" xfId="0" applyNumberFormat="1" applyFont="1" applyBorder="1" applyAlignment="1">
      <alignment horizontal="center" vertical="center" wrapText="1"/>
    </xf>
    <xf numFmtId="0" fontId="81" fillId="3" borderId="0" xfId="0" applyFont="1" applyFill="1" applyAlignment="1">
      <alignment horizontal="left" vertical="top" wrapText="1"/>
    </xf>
    <xf numFmtId="44" fontId="15" fillId="16" borderId="5" xfId="0" applyNumberFormat="1" applyFont="1" applyFill="1" applyBorder="1" applyAlignment="1">
      <alignment horizontal="center" vertical="center" wrapText="1"/>
    </xf>
    <xf numFmtId="44" fontId="15" fillId="16" borderId="20" xfId="0" applyNumberFormat="1" applyFont="1" applyFill="1" applyBorder="1" applyAlignment="1">
      <alignment horizontal="center" vertical="center" wrapText="1"/>
    </xf>
    <xf numFmtId="44" fontId="15" fillId="0" borderId="20" xfId="0" applyNumberFormat="1" applyFont="1" applyBorder="1" applyAlignment="1">
      <alignment horizontal="center" vertical="center" wrapText="1"/>
    </xf>
    <xf numFmtId="44" fontId="43" fillId="16" borderId="20" xfId="0" applyNumberFormat="1" applyFont="1" applyFill="1" applyBorder="1" applyAlignment="1">
      <alignment horizontal="center" vertical="center" wrapText="1"/>
    </xf>
    <xf numFmtId="44" fontId="43" fillId="16" borderId="5" xfId="0" applyNumberFormat="1" applyFont="1" applyFill="1" applyBorder="1" applyAlignment="1">
      <alignment horizontal="center" vertical="center" wrapText="1"/>
    </xf>
    <xf numFmtId="44" fontId="43" fillId="0" borderId="20" xfId="0" applyNumberFormat="1" applyFont="1" applyBorder="1" applyAlignment="1">
      <alignment horizontal="center" vertical="center" wrapText="1"/>
    </xf>
    <xf numFmtId="44" fontId="15" fillId="16" borderId="1" xfId="0" applyNumberFormat="1" applyFont="1" applyFill="1" applyBorder="1" applyAlignment="1">
      <alignment horizontal="center" vertical="center" wrapText="1"/>
    </xf>
    <xf numFmtId="44" fontId="15" fillId="0" borderId="1" xfId="0" applyNumberFormat="1" applyFont="1" applyBorder="1" applyAlignment="1">
      <alignment horizontal="center" vertical="center" wrapText="1"/>
    </xf>
    <xf numFmtId="44" fontId="15" fillId="16" borderId="18" xfId="0" applyNumberFormat="1" applyFont="1" applyFill="1" applyBorder="1" applyAlignment="1">
      <alignment horizontal="center" vertical="center" wrapText="1"/>
    </xf>
    <xf numFmtId="44" fontId="15" fillId="0" borderId="5" xfId="0" applyNumberFormat="1" applyFont="1" applyBorder="1" applyAlignment="1">
      <alignment horizontal="center" vertical="center" wrapText="1"/>
    </xf>
    <xf numFmtId="44" fontId="15" fillId="0" borderId="18" xfId="0" applyNumberFormat="1" applyFont="1" applyBorder="1" applyAlignment="1">
      <alignment horizontal="center" vertical="center" wrapText="1"/>
    </xf>
    <xf numFmtId="168" fontId="43" fillId="16" borderId="0" xfId="0" applyNumberFormat="1" applyFont="1" applyFill="1" applyAlignment="1">
      <alignment horizontal="center" vertical="center" wrapText="1"/>
    </xf>
    <xf numFmtId="168" fontId="43" fillId="0" borderId="0" xfId="0" applyNumberFormat="1" applyFont="1" applyAlignment="1">
      <alignment horizontal="center" vertical="center" wrapText="1"/>
    </xf>
    <xf numFmtId="44" fontId="43" fillId="16" borderId="7" xfId="0" applyNumberFormat="1" applyFont="1" applyFill="1" applyBorder="1" applyAlignment="1">
      <alignment horizontal="center" vertical="center" wrapText="1"/>
    </xf>
    <xf numFmtId="44" fontId="43" fillId="16" borderId="21" xfId="0" applyNumberFormat="1" applyFont="1" applyFill="1" applyBorder="1" applyAlignment="1">
      <alignment horizontal="center" vertical="center" wrapText="1"/>
    </xf>
    <xf numFmtId="44" fontId="43" fillId="0" borderId="21" xfId="0" applyNumberFormat="1" applyFont="1" applyBorder="1" applyAlignment="1">
      <alignment horizontal="center" vertical="center" wrapText="1"/>
    </xf>
    <xf numFmtId="44" fontId="43" fillId="0" borderId="1" xfId="0" applyNumberFormat="1" applyFont="1" applyBorder="1" applyAlignment="1">
      <alignment horizontal="center" vertical="center" wrapText="1"/>
    </xf>
    <xf numFmtId="44" fontId="43" fillId="16" borderId="1" xfId="0" applyNumberFormat="1" applyFont="1" applyFill="1" applyBorder="1" applyAlignment="1">
      <alignment horizontal="center" vertical="center" wrapText="1"/>
    </xf>
    <xf numFmtId="0" fontId="19" fillId="29" borderId="5" xfId="0" applyFont="1" applyFill="1" applyBorder="1" applyAlignment="1">
      <alignment horizontal="left" vertical="center"/>
    </xf>
    <xf numFmtId="0" fontId="19" fillId="29" borderId="20" xfId="0" applyFont="1" applyFill="1" applyBorder="1" applyAlignment="1">
      <alignment horizontal="left" vertical="center"/>
    </xf>
    <xf numFmtId="0" fontId="19" fillId="29" borderId="18" xfId="0" applyFont="1" applyFill="1" applyBorder="1" applyAlignment="1">
      <alignment horizontal="left" vertical="center"/>
    </xf>
    <xf numFmtId="0" fontId="43" fillId="19" borderId="2" xfId="0" applyFont="1" applyFill="1" applyBorder="1" applyAlignment="1">
      <alignment horizontal="center" vertical="center" wrapText="1"/>
    </xf>
    <xf numFmtId="0" fontId="43" fillId="19" borderId="4" xfId="0" applyFont="1" applyFill="1" applyBorder="1" applyAlignment="1">
      <alignment horizontal="center" vertical="center" wrapText="1"/>
    </xf>
    <xf numFmtId="0" fontId="43" fillId="0" borderId="8" xfId="0" applyFont="1" applyBorder="1" applyAlignment="1">
      <alignment horizontal="center" vertical="center" wrapText="1"/>
    </xf>
    <xf numFmtId="0" fontId="43" fillId="0" borderId="7" xfId="0" applyFont="1" applyBorder="1" applyAlignment="1">
      <alignment horizontal="center" vertical="center" wrapText="1"/>
    </xf>
    <xf numFmtId="0" fontId="42" fillId="16" borderId="5" xfId="0" applyFont="1" applyFill="1" applyBorder="1" applyAlignment="1">
      <alignment horizontal="right" vertical="center"/>
    </xf>
    <xf numFmtId="0" fontId="42" fillId="16" borderId="20" xfId="0" applyFont="1" applyFill="1" applyBorder="1" applyAlignment="1">
      <alignment horizontal="right" vertical="center"/>
    </xf>
    <xf numFmtId="0" fontId="42" fillId="16" borderId="18" xfId="0" applyFont="1" applyFill="1" applyBorder="1" applyAlignment="1">
      <alignment horizontal="right" vertical="center"/>
    </xf>
    <xf numFmtId="0" fontId="43" fillId="3" borderId="8" xfId="0" applyFont="1" applyFill="1" applyBorder="1" applyAlignment="1">
      <alignment horizontal="center" vertical="center" wrapText="1"/>
    </xf>
    <xf numFmtId="0" fontId="43" fillId="3" borderId="7" xfId="0" applyFont="1" applyFill="1" applyBorder="1" applyAlignment="1">
      <alignment horizontal="center" vertical="center" wrapText="1"/>
    </xf>
    <xf numFmtId="0" fontId="43" fillId="20" borderId="5" xfId="0" applyFont="1" applyFill="1" applyBorder="1" applyAlignment="1">
      <alignment horizontal="left" vertical="center"/>
    </xf>
    <xf numFmtId="0" fontId="43" fillId="20" borderId="20" xfId="0" applyFont="1" applyFill="1" applyBorder="1" applyAlignment="1">
      <alignment horizontal="left" vertical="center"/>
    </xf>
    <xf numFmtId="0" fontId="43" fillId="20" borderId="18" xfId="0" applyFont="1" applyFill="1" applyBorder="1" applyAlignment="1">
      <alignment horizontal="left" vertical="center"/>
    </xf>
    <xf numFmtId="0" fontId="43" fillId="3" borderId="2" xfId="0" applyFont="1" applyFill="1" applyBorder="1" applyAlignment="1">
      <alignment horizontal="center" vertical="center" wrapText="1"/>
    </xf>
    <xf numFmtId="0" fontId="43" fillId="3" borderId="4" xfId="0" applyFont="1" applyFill="1" applyBorder="1" applyAlignment="1">
      <alignment horizontal="center" vertical="center" wrapText="1"/>
    </xf>
    <xf numFmtId="170" fontId="43" fillId="19" borderId="2" xfId="0" applyNumberFormat="1" applyFont="1" applyFill="1" applyBorder="1" applyAlignment="1">
      <alignment horizontal="center" vertical="center" wrapText="1"/>
    </xf>
    <xf numFmtId="170" fontId="43" fillId="19" borderId="4" xfId="0" applyNumberFormat="1" applyFont="1" applyFill="1" applyBorder="1" applyAlignment="1">
      <alignment horizontal="center" vertical="center" wrapText="1"/>
    </xf>
    <xf numFmtId="0" fontId="19" fillId="16" borderId="5" xfId="0" applyFont="1" applyFill="1" applyBorder="1" applyAlignment="1">
      <alignment horizontal="center" vertical="center"/>
    </xf>
    <xf numFmtId="0" fontId="19" fillId="16" borderId="20" xfId="0" applyFont="1" applyFill="1" applyBorder="1" applyAlignment="1">
      <alignment horizontal="center" vertical="center"/>
    </xf>
    <xf numFmtId="0" fontId="19" fillId="16" borderId="18" xfId="0" applyFont="1" applyFill="1" applyBorder="1" applyAlignment="1">
      <alignment horizontal="center" vertical="center"/>
    </xf>
    <xf numFmtId="0" fontId="43" fillId="20" borderId="68" xfId="0" applyFont="1" applyFill="1" applyBorder="1" applyAlignment="1">
      <alignment horizontal="left" vertical="center"/>
    </xf>
    <xf numFmtId="0" fontId="43" fillId="20" borderId="69" xfId="0" applyFont="1" applyFill="1" applyBorder="1" applyAlignment="1">
      <alignment horizontal="left" vertical="center"/>
    </xf>
    <xf numFmtId="170" fontId="43" fillId="3" borderId="2" xfId="0" applyNumberFormat="1" applyFont="1" applyFill="1" applyBorder="1" applyAlignment="1">
      <alignment horizontal="center" vertical="center" wrapText="1"/>
    </xf>
    <xf numFmtId="170" fontId="43" fillId="3" borderId="4" xfId="0" applyNumberFormat="1" applyFont="1" applyFill="1" applyBorder="1" applyAlignment="1">
      <alignment horizontal="center" vertical="center" wrapText="1"/>
    </xf>
    <xf numFmtId="170" fontId="43" fillId="16" borderId="8" xfId="0" applyNumberFormat="1" applyFont="1" applyFill="1" applyBorder="1" applyAlignment="1">
      <alignment horizontal="center" vertical="center" wrapText="1"/>
    </xf>
    <xf numFmtId="170" fontId="43" fillId="16" borderId="7" xfId="0" applyNumberFormat="1" applyFont="1" applyFill="1" applyBorder="1" applyAlignment="1">
      <alignment horizontal="center" vertical="center" wrapText="1"/>
    </xf>
    <xf numFmtId="170" fontId="43" fillId="0" borderId="8" xfId="0" applyNumberFormat="1" applyFont="1" applyBorder="1" applyAlignment="1">
      <alignment horizontal="center" vertical="center" wrapText="1"/>
    </xf>
    <xf numFmtId="170" fontId="43" fillId="0" borderId="7" xfId="0" applyNumberFormat="1" applyFont="1" applyBorder="1" applyAlignment="1">
      <alignment horizontal="center" vertical="center" wrapText="1"/>
    </xf>
    <xf numFmtId="0" fontId="19" fillId="12" borderId="5" xfId="0" applyFont="1" applyFill="1" applyBorder="1" applyAlignment="1">
      <alignment horizontal="left" vertical="center"/>
    </xf>
    <xf numFmtId="0" fontId="19" fillId="12" borderId="20" xfId="0" applyFont="1" applyFill="1" applyBorder="1" applyAlignment="1">
      <alignment horizontal="left" vertical="center"/>
    </xf>
    <xf numFmtId="0" fontId="19" fillId="12" borderId="18" xfId="0" applyFont="1" applyFill="1" applyBorder="1" applyAlignment="1">
      <alignment horizontal="left" vertical="center"/>
    </xf>
    <xf numFmtId="170" fontId="43" fillId="3" borderId="8" xfId="0" applyNumberFormat="1" applyFont="1" applyFill="1" applyBorder="1" applyAlignment="1">
      <alignment horizontal="center" vertical="center" wrapText="1"/>
    </xf>
    <xf numFmtId="170" fontId="43" fillId="3" borderId="7" xfId="0" applyNumberFormat="1" applyFont="1" applyFill="1" applyBorder="1" applyAlignment="1">
      <alignment horizontal="center" vertical="center" wrapText="1"/>
    </xf>
    <xf numFmtId="170" fontId="43" fillId="19" borderId="6" xfId="0" applyNumberFormat="1" applyFont="1" applyFill="1" applyBorder="1" applyAlignment="1">
      <alignment horizontal="center" vertical="center" wrapText="1"/>
    </xf>
    <xf numFmtId="0" fontId="43" fillId="19" borderId="6" xfId="0" applyFont="1" applyFill="1" applyBorder="1" applyAlignment="1">
      <alignment horizontal="center" vertical="center" wrapText="1"/>
    </xf>
    <xf numFmtId="0" fontId="43" fillId="16" borderId="5" xfId="0" applyFont="1" applyFill="1" applyBorder="1" applyAlignment="1">
      <alignment horizontal="left" vertical="center"/>
    </xf>
    <xf numFmtId="0" fontId="43" fillId="16" borderId="20" xfId="0" applyFont="1" applyFill="1" applyBorder="1" applyAlignment="1">
      <alignment horizontal="left" vertical="center"/>
    </xf>
    <xf numFmtId="0" fontId="43" fillId="0" borderId="3" xfId="0" applyFont="1" applyBorder="1" applyAlignment="1">
      <alignment horizontal="center" vertical="center" wrapText="1"/>
    </xf>
    <xf numFmtId="0" fontId="43" fillId="3" borderId="3" xfId="0" applyFont="1" applyFill="1" applyBorder="1" applyAlignment="1">
      <alignment horizontal="center" vertical="center" wrapText="1"/>
    </xf>
    <xf numFmtId="0" fontId="19" fillId="25" borderId="21" xfId="0" applyFont="1" applyFill="1" applyBorder="1" applyAlignment="1">
      <alignment horizontal="center" vertical="center"/>
    </xf>
    <xf numFmtId="0" fontId="43" fillId="19" borderId="72" xfId="0" applyFont="1" applyFill="1" applyBorder="1" applyAlignment="1">
      <alignment horizontal="center" vertical="center"/>
    </xf>
    <xf numFmtId="0" fontId="43" fillId="19" borderId="73" xfId="0" applyFont="1" applyFill="1" applyBorder="1" applyAlignment="1">
      <alignment horizontal="center" vertical="center"/>
    </xf>
    <xf numFmtId="0" fontId="19" fillId="20" borderId="5" xfId="0" applyFont="1" applyFill="1" applyBorder="1" applyAlignment="1">
      <alignment horizontal="left" vertical="center"/>
    </xf>
    <xf numFmtId="0" fontId="19" fillId="20" borderId="20" xfId="0" applyFont="1" applyFill="1" applyBorder="1" applyAlignment="1">
      <alignment horizontal="left" vertical="center"/>
    </xf>
    <xf numFmtId="0" fontId="19" fillId="14" borderId="34" xfId="0" applyFont="1" applyFill="1" applyBorder="1" applyAlignment="1">
      <alignment horizontal="center" vertical="center" wrapText="1"/>
    </xf>
    <xf numFmtId="0" fontId="19" fillId="14" borderId="38" xfId="0" applyFont="1" applyFill="1" applyBorder="1" applyAlignment="1">
      <alignment horizontal="center" vertical="center" wrapText="1"/>
    </xf>
    <xf numFmtId="0" fontId="19" fillId="14" borderId="58" xfId="0" applyFont="1" applyFill="1" applyBorder="1" applyAlignment="1">
      <alignment horizontal="center" vertical="center" wrapText="1"/>
    </xf>
    <xf numFmtId="0" fontId="43" fillId="24" borderId="1" xfId="0" applyFont="1" applyFill="1" applyBorder="1" applyAlignment="1">
      <alignment horizontal="left" vertical="center"/>
    </xf>
    <xf numFmtId="0" fontId="43" fillId="16" borderId="5" xfId="0" applyFont="1" applyFill="1" applyBorder="1" applyAlignment="1">
      <alignment horizontal="left" vertical="center" wrapText="1"/>
    </xf>
    <xf numFmtId="0" fontId="43" fillId="16" borderId="20" xfId="0" applyFont="1" applyFill="1" applyBorder="1" applyAlignment="1">
      <alignment horizontal="left" vertical="center" wrapText="1"/>
    </xf>
    <xf numFmtId="0" fontId="43" fillId="16" borderId="18" xfId="0" applyFont="1" applyFill="1" applyBorder="1" applyAlignment="1">
      <alignment horizontal="left" vertical="center" wrapText="1"/>
    </xf>
    <xf numFmtId="0" fontId="19" fillId="20" borderId="8" xfId="0" applyFont="1" applyFill="1" applyBorder="1" applyAlignment="1">
      <alignment horizontal="left" vertical="center"/>
    </xf>
    <xf numFmtId="0" fontId="19" fillId="20" borderId="19" xfId="0" applyFont="1" applyFill="1" applyBorder="1" applyAlignment="1">
      <alignment horizontal="left" vertical="center"/>
    </xf>
    <xf numFmtId="0" fontId="19" fillId="20" borderId="7" xfId="0" applyFont="1" applyFill="1" applyBorder="1" applyAlignment="1">
      <alignment horizontal="left" vertical="center"/>
    </xf>
    <xf numFmtId="0" fontId="19" fillId="20" borderId="21" xfId="0" applyFont="1" applyFill="1" applyBorder="1" applyAlignment="1">
      <alignment horizontal="left" vertical="center"/>
    </xf>
    <xf numFmtId="0" fontId="19" fillId="20" borderId="21" xfId="0" applyFont="1" applyFill="1" applyBorder="1" applyAlignment="1">
      <alignment horizontal="center" vertical="center"/>
    </xf>
    <xf numFmtId="0" fontId="19" fillId="20" borderId="22" xfId="0" applyFont="1" applyFill="1" applyBorder="1" applyAlignment="1">
      <alignment horizontal="center" vertical="center"/>
    </xf>
    <xf numFmtId="0" fontId="43" fillId="16" borderId="8" xfId="0" applyFont="1" applyFill="1" applyBorder="1" applyAlignment="1">
      <alignment horizontal="left" vertical="center"/>
    </xf>
    <xf numFmtId="0" fontId="43" fillId="16" borderId="19" xfId="0" applyFont="1" applyFill="1" applyBorder="1" applyAlignment="1">
      <alignment horizontal="left" vertical="center"/>
    </xf>
    <xf numFmtId="0" fontId="43" fillId="16" borderId="9" xfId="0" applyFont="1" applyFill="1" applyBorder="1" applyAlignment="1">
      <alignment horizontal="left" vertical="center"/>
    </xf>
    <xf numFmtId="0" fontId="43" fillId="16" borderId="7" xfId="0" applyFont="1" applyFill="1" applyBorder="1" applyAlignment="1">
      <alignment horizontal="left" vertical="center"/>
    </xf>
    <xf numFmtId="0" fontId="43" fillId="16" borderId="21" xfId="0" applyFont="1" applyFill="1" applyBorder="1" applyAlignment="1">
      <alignment horizontal="left" vertical="center"/>
    </xf>
    <xf numFmtId="0" fontId="43" fillId="16" borderId="22" xfId="0" applyFont="1" applyFill="1" applyBorder="1" applyAlignment="1">
      <alignment horizontal="left" vertical="center"/>
    </xf>
    <xf numFmtId="0" fontId="19" fillId="16" borderId="5" xfId="0" applyFont="1" applyFill="1" applyBorder="1" applyAlignment="1">
      <alignment horizontal="left" vertical="center"/>
    </xf>
    <xf numFmtId="0" fontId="19" fillId="16" borderId="20" xfId="0" applyFont="1" applyFill="1" applyBorder="1" applyAlignment="1">
      <alignment horizontal="left" vertical="center"/>
    </xf>
    <xf numFmtId="0" fontId="19" fillId="16" borderId="74" xfId="0" applyFont="1" applyFill="1" applyBorder="1" applyAlignment="1">
      <alignment horizontal="left" vertical="center"/>
    </xf>
    <xf numFmtId="0" fontId="42" fillId="16" borderId="5" xfId="8" applyFont="1" applyFill="1" applyBorder="1" applyAlignment="1">
      <alignment horizontal="left" vertical="center" wrapText="1"/>
    </xf>
    <xf numFmtId="0" fontId="42" fillId="16" borderId="20" xfId="8" applyFont="1" applyFill="1" applyBorder="1" applyAlignment="1">
      <alignment horizontal="left" vertical="center" wrapText="1"/>
    </xf>
    <xf numFmtId="0" fontId="43" fillId="19" borderId="50" xfId="0" applyFont="1" applyFill="1" applyBorder="1" applyAlignment="1">
      <alignment horizontal="center" vertical="center"/>
    </xf>
    <xf numFmtId="0" fontId="43" fillId="19" borderId="49" xfId="0" applyFont="1" applyFill="1" applyBorder="1" applyAlignment="1">
      <alignment horizontal="center" vertical="center"/>
    </xf>
    <xf numFmtId="0" fontId="43" fillId="19" borderId="47" xfId="0" applyFont="1" applyFill="1" applyBorder="1" applyAlignment="1">
      <alignment horizontal="center" vertical="center"/>
    </xf>
    <xf numFmtId="0" fontId="43" fillId="16" borderId="18" xfId="0" applyFont="1" applyFill="1" applyBorder="1" applyAlignment="1">
      <alignment horizontal="left" vertical="center"/>
    </xf>
    <xf numFmtId="0" fontId="19" fillId="3" borderId="0" xfId="0" applyFont="1" applyFill="1" applyAlignment="1">
      <alignment horizontal="left" vertical="center" wrapText="1"/>
    </xf>
    <xf numFmtId="0" fontId="40" fillId="16" borderId="5" xfId="8" applyFont="1" applyFill="1" applyBorder="1" applyAlignment="1">
      <alignment horizontal="center" vertical="center" wrapText="1"/>
    </xf>
    <xf numFmtId="0" fontId="40" fillId="16" borderId="20" xfId="8" applyFont="1" applyFill="1" applyBorder="1" applyAlignment="1">
      <alignment horizontal="center" vertical="center" wrapText="1"/>
    </xf>
    <xf numFmtId="0" fontId="40" fillId="16" borderId="18" xfId="8" applyFont="1" applyFill="1" applyBorder="1" applyAlignment="1">
      <alignment horizontal="center" vertical="center" wrapText="1"/>
    </xf>
    <xf numFmtId="0" fontId="19" fillId="20" borderId="5" xfId="0" applyFont="1" applyFill="1" applyBorder="1" applyAlignment="1">
      <alignment horizontal="center" vertical="center"/>
    </xf>
    <xf numFmtId="0" fontId="19" fillId="20" borderId="20" xfId="0" applyFont="1" applyFill="1" applyBorder="1" applyAlignment="1">
      <alignment horizontal="center" vertical="center"/>
    </xf>
    <xf numFmtId="0" fontId="19" fillId="20" borderId="34" xfId="0" applyFont="1" applyFill="1" applyBorder="1" applyAlignment="1">
      <alignment horizontal="center" vertical="center"/>
    </xf>
    <xf numFmtId="0" fontId="19" fillId="20" borderId="38" xfId="0" applyFont="1" applyFill="1" applyBorder="1" applyAlignment="1">
      <alignment horizontal="center" vertical="center"/>
    </xf>
    <xf numFmtId="0" fontId="43" fillId="30" borderId="5" xfId="0" applyFont="1" applyFill="1" applyBorder="1" applyAlignment="1">
      <alignment horizontal="left" vertical="center" wrapText="1"/>
    </xf>
    <xf numFmtId="0" fontId="43" fillId="30" borderId="20" xfId="0" applyFont="1" applyFill="1" applyBorder="1" applyAlignment="1">
      <alignment horizontal="left" vertical="center" wrapText="1"/>
    </xf>
    <xf numFmtId="0" fontId="43" fillId="30" borderId="18" xfId="0" applyFont="1" applyFill="1" applyBorder="1" applyAlignment="1">
      <alignment horizontal="left" vertical="center" wrapText="1"/>
    </xf>
    <xf numFmtId="0" fontId="43" fillId="30" borderId="1" xfId="0" applyFont="1" applyFill="1" applyBorder="1" applyAlignment="1">
      <alignment horizontal="left" vertical="center" wrapText="1"/>
    </xf>
    <xf numFmtId="0" fontId="43" fillId="16" borderId="3" xfId="0" applyFont="1" applyFill="1" applyBorder="1" applyAlignment="1">
      <alignment horizontal="left" vertical="center"/>
    </xf>
    <xf numFmtId="0" fontId="43" fillId="16" borderId="0" xfId="0" applyFont="1" applyFill="1" applyAlignment="1">
      <alignment horizontal="left" vertical="center"/>
    </xf>
    <xf numFmtId="0" fontId="43" fillId="16" borderId="23" xfId="0" applyFont="1" applyFill="1" applyBorder="1" applyAlignment="1">
      <alignment horizontal="left" vertical="center"/>
    </xf>
    <xf numFmtId="0" fontId="19" fillId="12" borderId="1" xfId="0" applyFont="1" applyFill="1" applyBorder="1" applyAlignment="1">
      <alignment horizontal="left" vertical="center"/>
    </xf>
    <xf numFmtId="0" fontId="50" fillId="30" borderId="5" xfId="0" applyFont="1" applyFill="1" applyBorder="1" applyAlignment="1">
      <alignment horizontal="left" vertical="center" wrapText="1"/>
    </xf>
    <xf numFmtId="0" fontId="50" fillId="30" borderId="20" xfId="0" applyFont="1" applyFill="1" applyBorder="1" applyAlignment="1">
      <alignment horizontal="left" vertical="center" wrapText="1"/>
    </xf>
    <xf numFmtId="0" fontId="50" fillId="30" borderId="18" xfId="0" applyFont="1" applyFill="1" applyBorder="1" applyAlignment="1">
      <alignment horizontal="left" vertical="center" wrapText="1"/>
    </xf>
    <xf numFmtId="0" fontId="19" fillId="30" borderId="5" xfId="0" applyFont="1" applyFill="1" applyBorder="1" applyAlignment="1">
      <alignment horizontal="left" vertical="center" wrapText="1"/>
    </xf>
    <xf numFmtId="0" fontId="19" fillId="30" borderId="20" xfId="0" applyFont="1" applyFill="1" applyBorder="1" applyAlignment="1">
      <alignment horizontal="left" vertical="center" wrapText="1"/>
    </xf>
    <xf numFmtId="0" fontId="19" fillId="30" borderId="18" xfId="0" applyFont="1" applyFill="1" applyBorder="1" applyAlignment="1">
      <alignment horizontal="left" vertical="center" wrapText="1"/>
    </xf>
    <xf numFmtId="0" fontId="81" fillId="0" borderId="31" xfId="0" applyFont="1" applyBorder="1" applyAlignment="1">
      <alignment horizontal="left" vertical="top" wrapText="1"/>
    </xf>
    <xf numFmtId="0" fontId="57" fillId="16" borderId="1" xfId="0" applyFont="1" applyFill="1" applyBorder="1" applyAlignment="1">
      <alignment horizontal="right" vertical="center"/>
    </xf>
    <xf numFmtId="0" fontId="57" fillId="16" borderId="5" xfId="0" applyFont="1" applyFill="1" applyBorder="1" applyAlignment="1">
      <alignment horizontal="right" vertical="center"/>
    </xf>
    <xf numFmtId="0" fontId="57" fillId="16" borderId="20" xfId="0" applyFont="1" applyFill="1" applyBorder="1" applyAlignment="1">
      <alignment horizontal="right" vertical="center"/>
    </xf>
    <xf numFmtId="0" fontId="57" fillId="16" borderId="18" xfId="0" applyFont="1" applyFill="1" applyBorder="1" applyAlignment="1">
      <alignment horizontal="right" vertical="center"/>
    </xf>
    <xf numFmtId="0" fontId="43" fillId="20" borderId="8" xfId="0" applyFont="1" applyFill="1" applyBorder="1" applyAlignment="1">
      <alignment horizontal="left" vertical="center"/>
    </xf>
    <xf numFmtId="0" fontId="43" fillId="20" borderId="19" xfId="0" applyFont="1" applyFill="1" applyBorder="1" applyAlignment="1">
      <alignment horizontal="left" vertical="center"/>
    </xf>
    <xf numFmtId="0" fontId="19" fillId="16" borderId="21" xfId="0" applyFont="1" applyFill="1" applyBorder="1" applyAlignment="1">
      <alignment horizontal="left" vertical="center"/>
    </xf>
    <xf numFmtId="9" fontId="43" fillId="19" borderId="5" xfId="10" applyFont="1" applyFill="1" applyBorder="1" applyAlignment="1" applyProtection="1">
      <alignment horizontal="right" vertical="center"/>
    </xf>
    <xf numFmtId="9" fontId="43" fillId="19" borderId="20" xfId="10" applyFont="1" applyFill="1" applyBorder="1" applyAlignment="1" applyProtection="1">
      <alignment horizontal="right" vertical="center"/>
    </xf>
    <xf numFmtId="0" fontId="19" fillId="19" borderId="5" xfId="0" applyFont="1" applyFill="1" applyBorder="1" applyAlignment="1">
      <alignment horizontal="left" vertical="center"/>
    </xf>
    <xf numFmtId="0" fontId="19" fillId="19" borderId="20" xfId="0" applyFont="1" applyFill="1" applyBorder="1" applyAlignment="1">
      <alignment horizontal="left" vertical="center"/>
    </xf>
    <xf numFmtId="0" fontId="19" fillId="19" borderId="18" xfId="0" applyFont="1" applyFill="1" applyBorder="1" applyAlignment="1">
      <alignment horizontal="left" vertical="center"/>
    </xf>
    <xf numFmtId="0" fontId="43" fillId="20" borderId="64" xfId="0" applyFont="1" applyFill="1" applyBorder="1" applyAlignment="1">
      <alignment horizontal="left" vertical="center"/>
    </xf>
    <xf numFmtId="0" fontId="43" fillId="20" borderId="62" xfId="0" applyFont="1" applyFill="1" applyBorder="1" applyAlignment="1">
      <alignment horizontal="left" vertical="center"/>
    </xf>
    <xf numFmtId="0" fontId="43" fillId="20" borderId="38" xfId="0" applyFont="1" applyFill="1" applyBorder="1" applyAlignment="1">
      <alignment horizontal="left" vertical="center"/>
    </xf>
    <xf numFmtId="0" fontId="43" fillId="20" borderId="63" xfId="0" applyFont="1" applyFill="1" applyBorder="1" applyAlignment="1">
      <alignment horizontal="left" vertical="center"/>
    </xf>
    <xf numFmtId="0" fontId="19" fillId="16" borderId="7" xfId="0" applyFont="1" applyFill="1" applyBorder="1" applyAlignment="1">
      <alignment horizontal="center" vertical="center"/>
    </xf>
    <xf numFmtId="0" fontId="19" fillId="16" borderId="21" xfId="0" applyFont="1" applyFill="1" applyBorder="1" applyAlignment="1">
      <alignment horizontal="center" vertical="center"/>
    </xf>
    <xf numFmtId="0" fontId="19" fillId="16" borderId="22" xfId="0" applyFont="1" applyFill="1" applyBorder="1" applyAlignment="1">
      <alignment horizontal="center" vertical="center"/>
    </xf>
    <xf numFmtId="10" fontId="102" fillId="43" borderId="2" xfId="0" applyNumberFormat="1" applyFont="1" applyFill="1" applyBorder="1" applyAlignment="1">
      <alignment horizontal="center" vertical="center"/>
    </xf>
    <xf numFmtId="10" fontId="102" fillId="43" borderId="4" xfId="0" applyNumberFormat="1" applyFont="1" applyFill="1" applyBorder="1" applyAlignment="1">
      <alignment horizontal="center" vertical="center"/>
    </xf>
    <xf numFmtId="0" fontId="19" fillId="16" borderId="18" xfId="0" applyFont="1" applyFill="1" applyBorder="1" applyAlignment="1">
      <alignment horizontal="left" vertical="center"/>
    </xf>
    <xf numFmtId="0" fontId="61" fillId="16" borderId="5" xfId="0" applyFont="1" applyFill="1" applyBorder="1" applyAlignment="1">
      <alignment horizontal="center" vertical="center" wrapText="1"/>
    </xf>
    <xf numFmtId="0" fontId="61" fillId="16" borderId="20" xfId="0" applyFont="1" applyFill="1" applyBorder="1" applyAlignment="1">
      <alignment horizontal="center" vertical="center" wrapText="1"/>
    </xf>
    <xf numFmtId="0" fontId="61" fillId="16" borderId="18" xfId="0" applyFont="1" applyFill="1" applyBorder="1" applyAlignment="1">
      <alignment horizontal="center" vertical="center" wrapText="1"/>
    </xf>
    <xf numFmtId="0" fontId="40" fillId="31" borderId="5" xfId="8" applyFont="1" applyFill="1" applyBorder="1" applyAlignment="1">
      <alignment horizontal="left" vertical="center" wrapText="1"/>
    </xf>
    <xf numFmtId="0" fontId="40" fillId="31" borderId="20" xfId="8" applyFont="1" applyFill="1" applyBorder="1" applyAlignment="1">
      <alignment horizontal="left" vertical="center" wrapText="1"/>
    </xf>
    <xf numFmtId="0" fontId="40" fillId="31" borderId="18" xfId="8" applyFont="1" applyFill="1" applyBorder="1" applyAlignment="1">
      <alignment horizontal="left" vertical="center" wrapText="1"/>
    </xf>
    <xf numFmtId="0" fontId="40" fillId="16" borderId="5" xfId="8" applyFont="1" applyFill="1" applyBorder="1" applyAlignment="1">
      <alignment horizontal="left" vertical="center" wrapText="1"/>
    </xf>
    <xf numFmtId="0" fontId="40" fillId="16" borderId="20" xfId="8" applyFont="1" applyFill="1" applyBorder="1" applyAlignment="1">
      <alignment horizontal="left" vertical="center" wrapText="1"/>
    </xf>
    <xf numFmtId="0" fontId="43" fillId="20" borderId="66" xfId="0" applyFont="1" applyFill="1" applyBorder="1" applyAlignment="1">
      <alignment horizontal="left" vertical="center" wrapText="1"/>
    </xf>
    <xf numFmtId="0" fontId="43" fillId="20" borderId="70" xfId="0" applyFont="1" applyFill="1" applyBorder="1" applyAlignment="1">
      <alignment horizontal="left" vertical="center" wrapText="1"/>
    </xf>
    <xf numFmtId="0" fontId="43" fillId="20" borderId="67" xfId="0" applyFont="1" applyFill="1" applyBorder="1" applyAlignment="1">
      <alignment horizontal="left" vertical="center" wrapText="1"/>
    </xf>
    <xf numFmtId="0" fontId="43" fillId="20" borderId="22" xfId="0" applyFont="1" applyFill="1" applyBorder="1" applyAlignment="1">
      <alignment horizontal="left" vertical="center" wrapText="1"/>
    </xf>
    <xf numFmtId="0" fontId="50" fillId="20" borderId="5" xfId="0" applyFont="1" applyFill="1" applyBorder="1" applyAlignment="1">
      <alignment horizontal="left" vertical="center"/>
    </xf>
    <xf numFmtId="0" fontId="50" fillId="20" borderId="20" xfId="0" applyFont="1" applyFill="1" applyBorder="1" applyAlignment="1">
      <alignment horizontal="left" vertical="center"/>
    </xf>
    <xf numFmtId="0" fontId="50" fillId="20" borderId="18" xfId="0" applyFont="1" applyFill="1" applyBorder="1" applyAlignment="1">
      <alignment horizontal="left" vertical="center"/>
    </xf>
    <xf numFmtId="0" fontId="125" fillId="0" borderId="0" xfId="0" applyFont="1" applyAlignment="1">
      <alignment horizontal="left"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8" fillId="0" borderId="3" xfId="0" applyFont="1" applyBorder="1" applyAlignment="1">
      <alignment horizontal="center" vertical="center"/>
    </xf>
    <xf numFmtId="0" fontId="38" fillId="0" borderId="23" xfId="0" applyFont="1" applyBorder="1" applyAlignment="1">
      <alignment horizontal="center" vertical="center"/>
    </xf>
    <xf numFmtId="0" fontId="38" fillId="0" borderId="7" xfId="0" applyFont="1" applyBorder="1" applyAlignment="1">
      <alignment horizontal="center" vertical="center"/>
    </xf>
    <xf numFmtId="0" fontId="38" fillId="0" borderId="22" xfId="0" applyFont="1" applyBorder="1" applyAlignment="1">
      <alignment horizontal="center" vertical="center"/>
    </xf>
    <xf numFmtId="0" fontId="126" fillId="48" borderId="3" xfId="0" applyFont="1" applyFill="1" applyBorder="1" applyAlignment="1">
      <alignment horizontal="center" vertical="center"/>
    </xf>
    <xf numFmtId="0" fontId="126" fillId="48" borderId="0" xfId="0" applyFont="1" applyFill="1" applyAlignment="1">
      <alignment horizontal="center" vertical="center"/>
    </xf>
    <xf numFmtId="0" fontId="38" fillId="0" borderId="1" xfId="0" applyFont="1" applyBorder="1" applyAlignment="1">
      <alignment horizontal="center"/>
    </xf>
    <xf numFmtId="0" fontId="38" fillId="0" borderId="5" xfId="0" applyFont="1" applyBorder="1" applyAlignment="1">
      <alignment horizontal="center"/>
    </xf>
    <xf numFmtId="0" fontId="98" fillId="0" borderId="8" xfId="0" applyFont="1" applyBorder="1" applyAlignment="1">
      <alignment horizontal="justify"/>
    </xf>
    <xf numFmtId="0" fontId="98" fillId="0" borderId="19" xfId="0" applyFont="1" applyBorder="1" applyAlignment="1">
      <alignment horizontal="justify"/>
    </xf>
    <xf numFmtId="0" fontId="98" fillId="0" borderId="9" xfId="0" applyFont="1" applyBorder="1" applyAlignment="1">
      <alignment horizontal="justify"/>
    </xf>
    <xf numFmtId="0" fontId="98" fillId="0" borderId="3" xfId="0" applyFont="1" applyBorder="1" applyAlignment="1">
      <alignment horizontal="justify"/>
    </xf>
    <xf numFmtId="0" fontId="98" fillId="0" borderId="0" xfId="0" applyFont="1" applyAlignment="1">
      <alignment horizontal="justify"/>
    </xf>
    <xf numFmtId="0" fontId="98" fillId="0" borderId="23" xfId="0" applyFont="1" applyBorder="1" applyAlignment="1">
      <alignment horizontal="justify"/>
    </xf>
    <xf numFmtId="0" fontId="98" fillId="0" borderId="7" xfId="0" applyFont="1" applyBorder="1" applyAlignment="1">
      <alignment horizontal="justify"/>
    </xf>
    <xf numFmtId="0" fontId="98" fillId="0" borderId="21" xfId="0" applyFont="1" applyBorder="1" applyAlignment="1">
      <alignment horizontal="justify"/>
    </xf>
    <xf numFmtId="0" fontId="98" fillId="0" borderId="22" xfId="0" applyFont="1" applyBorder="1" applyAlignment="1">
      <alignment horizontal="justify"/>
    </xf>
    <xf numFmtId="0" fontId="38" fillId="0" borderId="5" xfId="0" applyFont="1" applyBorder="1" applyAlignment="1">
      <alignment horizontal="center" vertical="center"/>
    </xf>
    <xf numFmtId="0" fontId="38" fillId="0" borderId="18" xfId="0" applyFont="1" applyBorder="1" applyAlignment="1">
      <alignment horizontal="center" vertical="center"/>
    </xf>
    <xf numFmtId="0" fontId="68" fillId="0" borderId="5" xfId="0" applyFont="1" applyBorder="1" applyAlignment="1">
      <alignment horizontal="center" vertical="center" wrapText="1"/>
    </xf>
    <xf numFmtId="0" fontId="68" fillId="0" borderId="20" xfId="0" applyFont="1" applyBorder="1" applyAlignment="1">
      <alignment horizontal="center" vertical="center" wrapText="1"/>
    </xf>
    <xf numFmtId="0" fontId="68" fillId="0" borderId="18" xfId="0" applyFont="1" applyBorder="1" applyAlignment="1">
      <alignment horizontal="center" vertical="center" wrapText="1"/>
    </xf>
    <xf numFmtId="0" fontId="99" fillId="0" borderId="5" xfId="8" applyFont="1" applyBorder="1" applyAlignment="1">
      <alignment horizontal="center" vertical="center"/>
    </xf>
    <xf numFmtId="0" fontId="99" fillId="0" borderId="20" xfId="8" applyFont="1" applyBorder="1" applyAlignment="1">
      <alignment horizontal="center" vertical="center"/>
    </xf>
    <xf numFmtId="0" fontId="99" fillId="0" borderId="18" xfId="8" applyFont="1" applyBorder="1" applyAlignment="1">
      <alignment horizontal="center" vertical="center"/>
    </xf>
    <xf numFmtId="0" fontId="67" fillId="0" borderId="5" xfId="8" applyFont="1" applyBorder="1" applyAlignment="1">
      <alignment horizontal="center" vertical="center" wrapText="1"/>
    </xf>
    <xf numFmtId="0" fontId="67" fillId="0" borderId="20" xfId="8" applyFont="1" applyBorder="1" applyAlignment="1">
      <alignment horizontal="center" vertical="center" wrapText="1"/>
    </xf>
    <xf numFmtId="0" fontId="67" fillId="0" borderId="18" xfId="8" applyFont="1" applyBorder="1" applyAlignment="1">
      <alignment horizontal="center" vertical="center" wrapText="1"/>
    </xf>
    <xf numFmtId="0" fontId="67" fillId="3" borderId="2" xfId="8" applyFont="1" applyFill="1" applyBorder="1" applyAlignment="1">
      <alignment horizontal="center" vertical="center"/>
    </xf>
    <xf numFmtId="0" fontId="67" fillId="3" borderId="6" xfId="8" applyFont="1" applyFill="1" applyBorder="1" applyAlignment="1">
      <alignment horizontal="center" vertical="center"/>
    </xf>
    <xf numFmtId="0" fontId="67" fillId="3" borderId="4" xfId="8" applyFont="1" applyFill="1" applyBorder="1" applyAlignment="1">
      <alignment horizontal="center" vertical="center"/>
    </xf>
    <xf numFmtId="0" fontId="67" fillId="3" borderId="2" xfId="8" applyFont="1" applyFill="1" applyBorder="1" applyAlignment="1">
      <alignment horizontal="center" vertical="center" wrapText="1"/>
    </xf>
    <xf numFmtId="0" fontId="67" fillId="3" borderId="6" xfId="8" applyFont="1" applyFill="1" applyBorder="1" applyAlignment="1">
      <alignment horizontal="center" vertical="center" wrapText="1"/>
    </xf>
    <xf numFmtId="0" fontId="67" fillId="3" borderId="4" xfId="8" applyFont="1" applyFill="1" applyBorder="1" applyAlignment="1">
      <alignment horizontal="center" vertical="center" wrapText="1"/>
    </xf>
    <xf numFmtId="0" fontId="98" fillId="3" borderId="2" xfId="8" applyFont="1" applyFill="1" applyBorder="1" applyAlignment="1">
      <alignment horizontal="center" vertical="center"/>
    </xf>
    <xf numFmtId="0" fontId="98" fillId="3" borderId="6" xfId="8" applyFont="1" applyFill="1" applyBorder="1" applyAlignment="1">
      <alignment horizontal="center" vertical="center"/>
    </xf>
    <xf numFmtId="0" fontId="98" fillId="3" borderId="4" xfId="8" applyFont="1" applyFill="1" applyBorder="1" applyAlignment="1">
      <alignment horizontal="center" vertical="center"/>
    </xf>
    <xf numFmtId="0" fontId="15" fillId="25" borderId="0" xfId="0" applyFont="1" applyFill="1" applyAlignment="1">
      <alignment horizontal="center" vertical="center"/>
    </xf>
    <xf numFmtId="0" fontId="6" fillId="0" borderId="0" xfId="0" applyFont="1" applyAlignment="1">
      <alignment horizontal="center" vertical="center"/>
    </xf>
    <xf numFmtId="0" fontId="36" fillId="0" borderId="1" xfId="0" applyFont="1" applyBorder="1" applyAlignment="1" applyProtection="1">
      <alignment horizontal="center" vertical="center"/>
      <protection hidden="1"/>
    </xf>
    <xf numFmtId="0" fontId="15" fillId="4" borderId="0" xfId="0" applyFont="1" applyFill="1" applyAlignment="1">
      <alignment horizontal="center" vertical="center"/>
    </xf>
    <xf numFmtId="0" fontId="15" fillId="14" borderId="34" xfId="0" applyFont="1" applyFill="1" applyBorder="1" applyAlignment="1">
      <alignment horizontal="left" vertical="center" wrapText="1"/>
    </xf>
    <xf numFmtId="0" fontId="15" fillId="14" borderId="38" xfId="0" applyFont="1" applyFill="1" applyBorder="1" applyAlignment="1">
      <alignment horizontal="left" vertical="center" wrapText="1"/>
    </xf>
    <xf numFmtId="0" fontId="36" fillId="3" borderId="1" xfId="0" applyFont="1" applyFill="1" applyBorder="1" applyAlignment="1" applyProtection="1">
      <alignment horizontal="center" vertical="center"/>
      <protection hidden="1"/>
    </xf>
    <xf numFmtId="0" fontId="17" fillId="0" borderId="1" xfId="0" applyFont="1" applyBorder="1" applyAlignment="1">
      <alignment horizontal="center" vertical="center"/>
    </xf>
    <xf numFmtId="0" fontId="15" fillId="12" borderId="5" xfId="0" applyFont="1" applyFill="1" applyBorder="1" applyAlignment="1">
      <alignment horizontal="left" vertical="center"/>
    </xf>
    <xf numFmtId="0" fontId="15" fillId="12" borderId="20" xfId="0" applyFont="1" applyFill="1" applyBorder="1" applyAlignment="1">
      <alignment horizontal="left" vertical="center"/>
    </xf>
    <xf numFmtId="0" fontId="15" fillId="12" borderId="18" xfId="0" applyFont="1" applyFill="1" applyBorder="1" applyAlignment="1">
      <alignment horizontal="left" vertical="center"/>
    </xf>
    <xf numFmtId="0" fontId="6" fillId="4" borderId="5" xfId="0" applyFont="1" applyFill="1" applyBorder="1" applyAlignment="1">
      <alignment horizontal="left" vertical="center"/>
    </xf>
    <xf numFmtId="0" fontId="6" fillId="4" borderId="20" xfId="0" applyFont="1" applyFill="1" applyBorder="1" applyAlignment="1">
      <alignment horizontal="left" vertical="center"/>
    </xf>
    <xf numFmtId="0" fontId="6" fillId="4" borderId="18" xfId="0" applyFont="1" applyFill="1" applyBorder="1" applyAlignment="1">
      <alignment horizontal="left" vertical="center"/>
    </xf>
    <xf numFmtId="0" fontId="15" fillId="0" borderId="5" xfId="0" applyFont="1" applyBorder="1" applyAlignment="1">
      <alignment horizontal="left" vertical="center"/>
    </xf>
    <xf numFmtId="0" fontId="15" fillId="0" borderId="20" xfId="0" applyFont="1" applyBorder="1" applyAlignment="1">
      <alignment horizontal="left" vertical="center"/>
    </xf>
    <xf numFmtId="0" fontId="15" fillId="0" borderId="18" xfId="0" applyFont="1" applyBorder="1" applyAlignment="1">
      <alignment horizontal="left" vertical="center"/>
    </xf>
    <xf numFmtId="0" fontId="15" fillId="0" borderId="7" xfId="0" applyFont="1" applyBorder="1" applyAlignment="1">
      <alignment horizontal="left" vertical="center"/>
    </xf>
    <xf numFmtId="0" fontId="15" fillId="0" borderId="21" xfId="0" applyFont="1" applyBorder="1" applyAlignment="1">
      <alignment horizontal="left" vertical="center"/>
    </xf>
    <xf numFmtId="0" fontId="15" fillId="0" borderId="22" xfId="0" applyFont="1" applyBorder="1" applyAlignment="1">
      <alignment horizontal="left" vertical="center"/>
    </xf>
    <xf numFmtId="0" fontId="15" fillId="0" borderId="40" xfId="0" applyFont="1" applyBorder="1" applyAlignment="1">
      <alignment horizontal="left" vertical="center"/>
    </xf>
    <xf numFmtId="0" fontId="15" fillId="0" borderId="29" xfId="0" applyFont="1" applyBorder="1" applyAlignment="1">
      <alignment horizontal="left" vertical="center"/>
    </xf>
    <xf numFmtId="0" fontId="15" fillId="12" borderId="1" xfId="0"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19"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0" xfId="0" applyFont="1" applyFill="1" applyAlignment="1">
      <alignment horizontal="center" vertical="center"/>
    </xf>
    <xf numFmtId="0" fontId="6" fillId="4" borderId="23"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21" xfId="0" applyFont="1" applyFill="1" applyBorder="1" applyAlignment="1">
      <alignment horizontal="center" vertical="center"/>
    </xf>
    <xf numFmtId="0" fontId="6" fillId="4" borderId="22" xfId="0" applyFont="1" applyFill="1" applyBorder="1" applyAlignment="1">
      <alignment horizontal="center" vertical="center"/>
    </xf>
    <xf numFmtId="0" fontId="15" fillId="11" borderId="50" xfId="0" applyFont="1" applyFill="1" applyBorder="1" applyAlignment="1">
      <alignment horizontal="center" vertical="center"/>
    </xf>
    <xf numFmtId="0" fontId="15" fillId="11" borderId="49" xfId="0" applyFont="1" applyFill="1" applyBorder="1" applyAlignment="1">
      <alignment horizontal="center" vertical="center"/>
    </xf>
    <xf numFmtId="0" fontId="15" fillId="11" borderId="51" xfId="0" applyFont="1" applyFill="1" applyBorder="1" applyAlignment="1">
      <alignment horizontal="center" vertical="center"/>
    </xf>
    <xf numFmtId="166" fontId="6" fillId="0" borderId="26" xfId="0" applyNumberFormat="1" applyFont="1" applyBorder="1" applyAlignment="1">
      <alignment horizontal="center" vertical="center"/>
    </xf>
    <xf numFmtId="166" fontId="6" fillId="0" borderId="28" xfId="0" applyNumberFormat="1" applyFont="1" applyBorder="1" applyAlignment="1">
      <alignment horizontal="center" vertical="center"/>
    </xf>
    <xf numFmtId="166" fontId="6" fillId="0" borderId="29" xfId="0" applyNumberFormat="1" applyFont="1" applyBorder="1" applyAlignment="1">
      <alignment horizontal="center" vertical="center"/>
    </xf>
    <xf numFmtId="44" fontId="6" fillId="0" borderId="1" xfId="0" applyNumberFormat="1" applyFont="1" applyBorder="1" applyAlignment="1">
      <alignment vertical="center"/>
    </xf>
    <xf numFmtId="0" fontId="6" fillId="4" borderId="0" xfId="0" applyFont="1" applyFill="1" applyAlignment="1">
      <alignment horizontal="center" vertical="center" wrapText="1"/>
    </xf>
    <xf numFmtId="0" fontId="6" fillId="5" borderId="0" xfId="0" applyFont="1" applyFill="1" applyAlignment="1">
      <alignment horizontal="justify" vertical="center" wrapText="1"/>
    </xf>
    <xf numFmtId="0" fontId="15" fillId="4" borderId="0" xfId="0" applyFont="1" applyFill="1" applyAlignment="1">
      <alignment vertical="center"/>
    </xf>
    <xf numFmtId="0" fontId="6" fillId="10" borderId="20" xfId="0" applyFont="1" applyFill="1" applyBorder="1" applyAlignment="1" applyProtection="1">
      <protection locked="0"/>
    </xf>
    <xf numFmtId="0" fontId="6" fillId="10" borderId="18" xfId="0" applyFont="1" applyFill="1" applyBorder="1" applyAlignment="1" applyProtection="1">
      <protection locked="0"/>
    </xf>
    <xf numFmtId="0" fontId="38" fillId="0" borderId="71" xfId="0" applyFont="1" applyBorder="1" applyAlignment="1">
      <alignment horizontal="left" vertical="center" wrapText="1"/>
    </xf>
    <xf numFmtId="0" fontId="38" fillId="0" borderId="60" xfId="0" applyFont="1" applyBorder="1" applyAlignment="1">
      <alignment horizontal="left" vertical="center" wrapText="1"/>
    </xf>
    <xf numFmtId="0" fontId="38" fillId="0" borderId="75" xfId="0" applyFont="1" applyBorder="1" applyAlignment="1">
      <alignment horizontal="left" vertical="center" wrapText="1"/>
    </xf>
    <xf numFmtId="0" fontId="42" fillId="2" borderId="71" xfId="0" applyFont="1" applyFill="1" applyBorder="1" applyAlignment="1">
      <alignment horizontal="center" vertical="center" wrapText="1"/>
    </xf>
    <xf numFmtId="0" fontId="42" fillId="2" borderId="75" xfId="0" applyFont="1" applyFill="1" applyBorder="1" applyAlignment="1">
      <alignment horizontal="center" vertical="center" wrapText="1"/>
    </xf>
    <xf numFmtId="0" fontId="42" fillId="2" borderId="60" xfId="0" applyFont="1" applyFill="1" applyBorder="1" applyAlignment="1">
      <alignment horizontal="center" vertical="center" wrapText="1"/>
    </xf>
    <xf numFmtId="0" fontId="42" fillId="2" borderId="71" xfId="0" applyFont="1" applyFill="1" applyBorder="1" applyAlignment="1">
      <alignment horizontal="left" vertical="center" wrapText="1"/>
    </xf>
    <xf numFmtId="0" fontId="42" fillId="2" borderId="75" xfId="0" applyFont="1" applyFill="1" applyBorder="1" applyAlignment="1">
      <alignment horizontal="left" vertical="center" wrapText="1"/>
    </xf>
    <xf numFmtId="0" fontId="42" fillId="2" borderId="60" xfId="0" applyFont="1" applyFill="1" applyBorder="1" applyAlignment="1">
      <alignment horizontal="left" vertical="center" wrapText="1"/>
    </xf>
    <xf numFmtId="169" fontId="38" fillId="3" borderId="71" xfId="0" applyNumberFormat="1" applyFont="1" applyFill="1" applyBorder="1" applyAlignment="1">
      <alignment horizontal="center" vertical="center"/>
    </xf>
    <xf numFmtId="169" fontId="38" fillId="3" borderId="75" xfId="0" applyNumberFormat="1" applyFont="1" applyFill="1" applyBorder="1" applyAlignment="1">
      <alignment horizontal="center" vertical="center"/>
    </xf>
    <xf numFmtId="169" fontId="38" fillId="3" borderId="60" xfId="0" applyNumberFormat="1" applyFont="1" applyFill="1" applyBorder="1" applyAlignment="1">
      <alignment horizontal="center" vertical="center"/>
    </xf>
    <xf numFmtId="169" fontId="38" fillId="3" borderId="76" xfId="0" applyNumberFormat="1" applyFont="1" applyFill="1" applyBorder="1" applyAlignment="1">
      <alignment horizontal="left" vertical="center"/>
    </xf>
    <xf numFmtId="169" fontId="38" fillId="3" borderId="78" xfId="0" applyNumberFormat="1" applyFont="1" applyFill="1" applyBorder="1" applyAlignment="1">
      <alignment horizontal="left" vertical="center"/>
    </xf>
    <xf numFmtId="169" fontId="38" fillId="3" borderId="77" xfId="0" applyNumberFormat="1" applyFont="1" applyFill="1" applyBorder="1" applyAlignment="1">
      <alignment horizontal="left" vertical="center"/>
    </xf>
    <xf numFmtId="0" fontId="31" fillId="26" borderId="2" xfId="0" applyFont="1" applyFill="1" applyBorder="1" applyAlignment="1">
      <alignment horizontal="center" vertical="center" wrapText="1"/>
    </xf>
    <xf numFmtId="0" fontId="31" fillId="26" borderId="4"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27" borderId="18" xfId="0" applyFont="1" applyFill="1" applyBorder="1" applyAlignment="1">
      <alignment horizontal="center" vertical="center" wrapText="1"/>
    </xf>
    <xf numFmtId="0" fontId="31" fillId="27"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4" fillId="9" borderId="13" xfId="0" applyFont="1" applyFill="1" applyBorder="1" applyAlignment="1">
      <alignment horizontal="left" vertical="top" wrapText="1"/>
    </xf>
    <xf numFmtId="0" fontId="14" fillId="9" borderId="14" xfId="0" applyFont="1" applyFill="1" applyBorder="1" applyAlignment="1">
      <alignment horizontal="left" vertical="top" wrapText="1"/>
    </xf>
    <xf numFmtId="0" fontId="14" fillId="9" borderId="15" xfId="0" applyFont="1" applyFill="1" applyBorder="1" applyAlignment="1">
      <alignment horizontal="left" vertical="top" wrapText="1"/>
    </xf>
    <xf numFmtId="0" fontId="14" fillId="0" borderId="13" xfId="0" applyFont="1" applyBorder="1" applyAlignment="1">
      <alignment horizontal="center" vertical="top" wrapText="1"/>
    </xf>
    <xf numFmtId="0" fontId="14" fillId="0" borderId="15" xfId="0" applyFont="1" applyBorder="1" applyAlignment="1">
      <alignment horizontal="center" vertical="top" wrapText="1"/>
    </xf>
    <xf numFmtId="0" fontId="14" fillId="8" borderId="13" xfId="0" applyFont="1" applyFill="1" applyBorder="1" applyAlignment="1" applyProtection="1">
      <alignment horizontal="center" vertical="top" wrapText="1"/>
      <protection locked="0"/>
    </xf>
    <xf numFmtId="0" fontId="14" fillId="8" borderId="15" xfId="0" applyFont="1" applyFill="1" applyBorder="1" applyAlignment="1" applyProtection="1">
      <alignment horizontal="center" vertical="top" wrapText="1"/>
      <protection locked="0"/>
    </xf>
    <xf numFmtId="0" fontId="31" fillId="6" borderId="2" xfId="0" applyFont="1" applyFill="1" applyBorder="1" applyAlignment="1">
      <alignment horizontal="center" vertical="center" wrapText="1"/>
    </xf>
    <xf numFmtId="0" fontId="31" fillId="6" borderId="4" xfId="0" applyFont="1" applyFill="1" applyBorder="1" applyAlignment="1">
      <alignment horizontal="center" vertical="center" wrapText="1"/>
    </xf>
    <xf numFmtId="0" fontId="32" fillId="0" borderId="1" xfId="0" applyFont="1" applyBorder="1" applyAlignment="1">
      <alignment horizontal="center"/>
    </xf>
    <xf numFmtId="44" fontId="31" fillId="6" borderId="2" xfId="4" applyFont="1" applyFill="1" applyBorder="1" applyAlignment="1" applyProtection="1">
      <alignment horizontal="center" vertical="center" wrapText="1"/>
    </xf>
    <xf numFmtId="44" fontId="31" fillId="6" borderId="6" xfId="4" applyFont="1" applyFill="1" applyBorder="1" applyAlignment="1" applyProtection="1">
      <alignment horizontal="center" vertical="center" wrapText="1"/>
    </xf>
    <xf numFmtId="44" fontId="31" fillId="6" borderId="4" xfId="4" applyFont="1" applyFill="1" applyBorder="1" applyAlignment="1" applyProtection="1">
      <alignment horizontal="center" vertical="center" wrapText="1"/>
    </xf>
    <xf numFmtId="174" fontId="14" fillId="0" borderId="13" xfId="0" applyNumberFormat="1" applyFont="1" applyBorder="1" applyAlignment="1">
      <alignment horizontal="center" vertical="center" wrapText="1"/>
    </xf>
    <xf numFmtId="174" fontId="14" fillId="0" borderId="15" xfId="0" applyNumberFormat="1" applyFont="1" applyBorder="1" applyAlignment="1">
      <alignment horizontal="center" vertical="center" wrapText="1"/>
    </xf>
    <xf numFmtId="0" fontId="31" fillId="6" borderId="6" xfId="0" applyFont="1" applyFill="1" applyBorder="1" applyAlignment="1">
      <alignment horizontal="center" vertical="center" wrapText="1"/>
    </xf>
    <xf numFmtId="0" fontId="31" fillId="6" borderId="1" xfId="0" applyFont="1" applyFill="1" applyBorder="1" applyAlignment="1">
      <alignment horizontal="center" wrapText="1"/>
    </xf>
    <xf numFmtId="0" fontId="0" fillId="8" borderId="1" xfId="0" applyFill="1" applyBorder="1" applyAlignment="1">
      <alignment horizontal="center" vertical="center"/>
    </xf>
    <xf numFmtId="181" fontId="75" fillId="7" borderId="1" xfId="4" applyNumberFormat="1" applyFont="1" applyFill="1" applyBorder="1" applyAlignment="1" applyProtection="1">
      <alignment horizontal="center" vertical="center"/>
      <protection locked="0"/>
    </xf>
    <xf numFmtId="9" fontId="103" fillId="7" borderId="1" xfId="11" applyFont="1" applyFill="1" applyBorder="1" applyAlignment="1" applyProtection="1">
      <alignment horizontal="center" vertical="center"/>
      <protection locked="0"/>
    </xf>
    <xf numFmtId="49" fontId="103" fillId="23" borderId="1" xfId="0" applyNumberFormat="1" applyFont="1" applyFill="1" applyBorder="1" applyAlignment="1" applyProtection="1">
      <alignment horizontal="left" vertical="center" wrapText="1"/>
      <protection locked="0"/>
    </xf>
    <xf numFmtId="49" fontId="103" fillId="23" borderId="1" xfId="0" applyNumberFormat="1" applyFont="1" applyFill="1" applyBorder="1" applyAlignment="1" applyProtection="1">
      <alignment vertical="center" wrapText="1"/>
      <protection locked="0"/>
    </xf>
    <xf numFmtId="49" fontId="103" fillId="23" borderId="1" xfId="0" applyNumberFormat="1" applyFont="1" applyFill="1" applyBorder="1" applyAlignment="1" applyProtection="1">
      <alignment horizontal="center" vertical="center" wrapText="1"/>
      <protection locked="0"/>
    </xf>
    <xf numFmtId="181" fontId="103" fillId="7" borderId="1" xfId="4" applyNumberFormat="1" applyFont="1" applyFill="1" applyBorder="1" applyAlignment="1" applyProtection="1">
      <alignment horizontal="center" vertical="center"/>
      <protection locked="0"/>
    </xf>
    <xf numFmtId="10" fontId="103" fillId="7" borderId="1" xfId="0" applyNumberFormat="1" applyFont="1" applyFill="1" applyBorder="1" applyAlignment="1" applyProtection="1">
      <alignment horizontal="center" vertical="center"/>
      <protection locked="0"/>
    </xf>
    <xf numFmtId="10" fontId="103" fillId="17" borderId="5" xfId="0" applyNumberFormat="1" applyFont="1" applyFill="1" applyBorder="1" applyAlignment="1" applyProtection="1">
      <alignment horizontal="center" vertical="center"/>
      <protection locked="0"/>
    </xf>
    <xf numFmtId="4" fontId="103" fillId="17" borderId="5" xfId="0" applyNumberFormat="1" applyFont="1" applyFill="1" applyBorder="1" applyAlignment="1" applyProtection="1">
      <alignment horizontal="center" vertical="center"/>
      <protection locked="0"/>
    </xf>
    <xf numFmtId="10" fontId="103" fillId="7" borderId="18" xfId="0" applyNumberFormat="1" applyFont="1" applyFill="1" applyBorder="1" applyAlignment="1" applyProtection="1">
      <alignment horizontal="center" vertical="center"/>
      <protection locked="0"/>
    </xf>
    <xf numFmtId="0" fontId="108" fillId="5" borderId="21" xfId="0" applyFont="1" applyFill="1" applyBorder="1" applyAlignment="1" applyProtection="1">
      <alignment horizontal="left" vertical="center"/>
      <protection locked="0"/>
    </xf>
    <xf numFmtId="9" fontId="103" fillId="17" borderId="1" xfId="0" applyNumberFormat="1" applyFont="1" applyFill="1" applyBorder="1" applyAlignment="1" applyProtection="1">
      <alignment horizontal="center" vertical="center"/>
      <protection locked="0"/>
    </xf>
    <xf numFmtId="9" fontId="103" fillId="17" borderId="1" xfId="10" applyFont="1" applyFill="1" applyBorder="1" applyAlignment="1" applyProtection="1">
      <alignment horizontal="center" vertical="center"/>
      <protection locked="0"/>
    </xf>
    <xf numFmtId="44" fontId="103" fillId="7" borderId="1" xfId="4" applyFont="1" applyFill="1" applyBorder="1" applyAlignment="1" applyProtection="1">
      <alignment horizontal="center" vertical="center"/>
      <protection locked="0"/>
    </xf>
    <xf numFmtId="44" fontId="103" fillId="17" borderId="1" xfId="4" applyFont="1" applyFill="1" applyBorder="1" applyAlignment="1" applyProtection="1">
      <alignment vertical="center"/>
      <protection locked="0"/>
    </xf>
    <xf numFmtId="9" fontId="103" fillId="17" borderId="5" xfId="10" applyFont="1" applyFill="1" applyBorder="1" applyAlignment="1" applyProtection="1">
      <alignment horizontal="center" vertical="center"/>
      <protection locked="0"/>
    </xf>
    <xf numFmtId="44" fontId="103" fillId="17" borderId="1" xfId="4" applyFont="1" applyFill="1" applyBorder="1" applyAlignment="1" applyProtection="1">
      <alignment horizontal="center" vertical="center"/>
      <protection locked="0"/>
    </xf>
    <xf numFmtId="0" fontId="108" fillId="5" borderId="20" xfId="0" applyFont="1" applyFill="1" applyBorder="1" applyAlignment="1" applyProtection="1">
      <alignment horizontal="justify" vertical="center"/>
      <protection locked="0"/>
    </xf>
    <xf numFmtId="0" fontId="108" fillId="17" borderId="5" xfId="0" applyFont="1" applyFill="1" applyBorder="1" applyAlignment="1" applyProtection="1">
      <alignment vertical="center"/>
      <protection locked="0"/>
    </xf>
    <xf numFmtId="0" fontId="108" fillId="17" borderId="20" xfId="0" applyFont="1" applyFill="1" applyBorder="1" applyAlignment="1" applyProtection="1">
      <alignment horizontal="justify" vertical="center"/>
      <protection locked="0"/>
    </xf>
    <xf numFmtId="10" fontId="75" fillId="7" borderId="1" xfId="10" applyNumberFormat="1" applyFont="1" applyFill="1" applyBorder="1" applyAlignment="1" applyProtection="1">
      <alignment horizontal="center" vertical="center" wrapText="1"/>
      <protection locked="0"/>
    </xf>
    <xf numFmtId="177" fontId="75" fillId="7" borderId="1" xfId="17" applyNumberFormat="1" applyFont="1" applyFill="1" applyBorder="1" applyAlignment="1" applyProtection="1">
      <alignment horizontal="center" vertical="center"/>
      <protection locked="0"/>
    </xf>
    <xf numFmtId="166" fontId="75" fillId="18" borderId="1" xfId="0" applyNumberFormat="1" applyFont="1" applyFill="1" applyBorder="1" applyAlignment="1" applyProtection="1">
      <alignment horizontal="center" vertical="center"/>
      <protection locked="0"/>
    </xf>
    <xf numFmtId="10" fontId="75" fillId="7" borderId="1" xfId="0" applyNumberFormat="1" applyFont="1" applyFill="1" applyBorder="1" applyAlignment="1" applyProtection="1">
      <alignment horizontal="center" vertical="center"/>
      <protection locked="0"/>
    </xf>
    <xf numFmtId="0" fontId="75" fillId="17" borderId="5" xfId="0" applyFont="1" applyFill="1" applyBorder="1" applyAlignment="1" applyProtection="1">
      <alignment vertical="center"/>
      <protection locked="0"/>
    </xf>
    <xf numFmtId="0" fontId="75" fillId="17" borderId="20" xfId="0" applyFont="1" applyFill="1" applyBorder="1" applyAlignment="1" applyProtection="1">
      <alignment vertical="center"/>
      <protection locked="0"/>
    </xf>
    <xf numFmtId="0" fontId="68" fillId="45" borderId="0" xfId="0" applyFont="1" applyFill="1" applyProtection="1"/>
    <xf numFmtId="0" fontId="126" fillId="45" borderId="0" xfId="0" applyFont="1" applyFill="1" applyAlignment="1" applyProtection="1">
      <alignment horizontal="left" wrapText="1"/>
    </xf>
    <xf numFmtId="0" fontId="68" fillId="3" borderId="0" xfId="0" applyFont="1" applyFill="1" applyProtection="1"/>
    <xf numFmtId="0" fontId="123" fillId="5" borderId="21" xfId="0" applyFont="1" applyFill="1" applyBorder="1" applyAlignment="1" applyProtection="1">
      <alignment horizontal="center" vertical="center"/>
    </xf>
    <xf numFmtId="0" fontId="113" fillId="3" borderId="0" xfId="0" applyFont="1" applyFill="1" applyAlignment="1" applyProtection="1">
      <alignment horizontal="left"/>
    </xf>
    <xf numFmtId="0" fontId="113" fillId="3" borderId="0" xfId="0" applyFont="1" applyFill="1" applyAlignment="1" applyProtection="1">
      <alignment vertical="center"/>
    </xf>
    <xf numFmtId="0" fontId="113" fillId="3" borderId="0" xfId="0" applyFont="1" applyFill="1" applyProtection="1"/>
    <xf numFmtId="0" fontId="113" fillId="3" borderId="1" xfId="0" applyFont="1" applyFill="1" applyBorder="1" applyAlignment="1" applyProtection="1">
      <alignment vertical="center"/>
    </xf>
    <xf numFmtId="0" fontId="103" fillId="3" borderId="1" xfId="8" applyFont="1" applyFill="1" applyBorder="1" applyAlignment="1" applyProtection="1">
      <alignment horizontal="center" vertical="center"/>
    </xf>
    <xf numFmtId="0" fontId="120" fillId="40" borderId="1" xfId="24" applyFont="1" applyFill="1" applyBorder="1" applyAlignment="1" applyProtection="1">
      <alignment horizontal="justify" vertical="center"/>
    </xf>
    <xf numFmtId="0" fontId="75" fillId="40" borderId="1" xfId="24" applyFont="1" applyFill="1" applyBorder="1" applyAlignment="1" applyProtection="1">
      <alignment horizontal="center" vertical="center"/>
    </xf>
    <xf numFmtId="0" fontId="120" fillId="40" borderId="1" xfId="24" applyFont="1" applyFill="1" applyBorder="1" applyAlignment="1" applyProtection="1">
      <alignment horizontal="justify" vertical="center" wrapText="1"/>
    </xf>
    <xf numFmtId="0" fontId="113" fillId="11" borderId="5" xfId="0" applyFont="1" applyFill="1" applyBorder="1" applyAlignment="1" applyProtection="1">
      <alignment horizontal="center" vertical="center" wrapText="1"/>
    </xf>
    <xf numFmtId="0" fontId="113" fillId="11" borderId="1" xfId="0" applyFont="1" applyFill="1" applyBorder="1" applyAlignment="1" applyProtection="1">
      <alignment horizontal="justify" vertical="center"/>
    </xf>
    <xf numFmtId="0" fontId="103" fillId="3" borderId="1" xfId="8" applyFont="1" applyFill="1" applyBorder="1" applyAlignment="1" applyProtection="1">
      <alignment horizontal="left" vertical="center"/>
    </xf>
    <xf numFmtId="14" fontId="103" fillId="3" borderId="1" xfId="0" applyNumberFormat="1" applyFont="1" applyFill="1" applyBorder="1" applyAlignment="1" applyProtection="1">
      <alignment horizontal="center" vertical="center" wrapText="1"/>
    </xf>
    <xf numFmtId="181" fontId="103" fillId="5" borderId="1" xfId="0" applyNumberFormat="1" applyFont="1" applyFill="1" applyBorder="1" applyAlignment="1" applyProtection="1">
      <alignment horizontal="center" vertical="center"/>
    </xf>
    <xf numFmtId="170" fontId="103" fillId="40" borderId="1" xfId="24" applyNumberFormat="1" applyFont="1" applyFill="1" applyBorder="1" applyAlignment="1" applyProtection="1">
      <alignment horizontal="justify" vertical="center"/>
    </xf>
    <xf numFmtId="170" fontId="103" fillId="40" borderId="1" xfId="24" applyNumberFormat="1" applyFont="1" applyFill="1" applyBorder="1" applyAlignment="1" applyProtection="1">
      <alignment horizontal="centerContinuous" vertical="center"/>
    </xf>
    <xf numFmtId="0" fontId="103" fillId="3" borderId="0" xfId="0" applyFont="1" applyFill="1" applyProtection="1"/>
    <xf numFmtId="0" fontId="103" fillId="3" borderId="1" xfId="8" applyFont="1" applyFill="1" applyBorder="1" applyAlignment="1" applyProtection="1">
      <alignment horizontal="left" vertical="justify"/>
    </xf>
    <xf numFmtId="0" fontId="103" fillId="3" borderId="1" xfId="8" applyFont="1" applyFill="1" applyBorder="1" applyAlignment="1" applyProtection="1">
      <alignment horizontal="left" vertical="justify" wrapText="1"/>
    </xf>
    <xf numFmtId="0" fontId="103" fillId="3" borderId="5" xfId="8" applyFont="1" applyFill="1" applyBorder="1" applyAlignment="1" applyProtection="1">
      <alignment horizontal="center" vertical="center"/>
    </xf>
    <xf numFmtId="0" fontId="109" fillId="5" borderId="0" xfId="0" applyFont="1" applyFill="1" applyAlignment="1" applyProtection="1">
      <alignment vertical="center"/>
    </xf>
    <xf numFmtId="0" fontId="75" fillId="11" borderId="5" xfId="0" applyFont="1" applyFill="1" applyBorder="1" applyAlignment="1" applyProtection="1">
      <alignment vertical="center"/>
    </xf>
    <xf numFmtId="0" fontId="75" fillId="11" borderId="20" xfId="0" applyFont="1" applyFill="1" applyBorder="1" applyAlignment="1" applyProtection="1">
      <alignment vertical="center"/>
    </xf>
    <xf numFmtId="0" fontId="75" fillId="11" borderId="18" xfId="0" applyFont="1" applyFill="1" applyBorder="1" applyAlignment="1" applyProtection="1">
      <alignment vertical="center"/>
    </xf>
    <xf numFmtId="0" fontId="75" fillId="5" borderId="5" xfId="0" applyFont="1" applyFill="1" applyBorder="1" applyAlignment="1" applyProtection="1">
      <alignment vertical="center"/>
    </xf>
    <xf numFmtId="0" fontId="103" fillId="5" borderId="20" xfId="0" applyFont="1" applyFill="1" applyBorder="1" applyProtection="1"/>
    <xf numFmtId="0" fontId="75" fillId="3" borderId="20" xfId="0" applyFont="1" applyFill="1" applyBorder="1" applyAlignment="1" applyProtection="1">
      <alignment vertical="center"/>
    </xf>
    <xf numFmtId="0" fontId="103" fillId="3" borderId="1" xfId="0" applyFont="1" applyFill="1" applyBorder="1" applyAlignment="1" applyProtection="1">
      <alignment horizontal="center" vertical="center"/>
    </xf>
    <xf numFmtId="0" fontId="103" fillId="11" borderId="39" xfId="0" applyFont="1" applyFill="1" applyBorder="1" applyAlignment="1" applyProtection="1">
      <alignment horizontal="center" vertical="center"/>
    </xf>
    <xf numFmtId="0" fontId="103" fillId="5" borderId="62" xfId="0" applyFont="1" applyFill="1" applyBorder="1" applyAlignment="1" applyProtection="1">
      <alignment vertical="center"/>
    </xf>
    <xf numFmtId="0" fontId="103" fillId="5" borderId="38" xfId="0" applyFont="1" applyFill="1" applyBorder="1" applyAlignment="1" applyProtection="1">
      <alignment vertical="center"/>
    </xf>
    <xf numFmtId="0" fontId="103" fillId="11" borderId="32" xfId="0" applyFont="1" applyFill="1" applyBorder="1" applyAlignment="1" applyProtection="1">
      <alignment horizontal="center" vertical="center"/>
    </xf>
    <xf numFmtId="0" fontId="103" fillId="11" borderId="42" xfId="0" applyFont="1" applyFill="1" applyBorder="1" applyAlignment="1" applyProtection="1">
      <alignment horizontal="center" vertical="center"/>
    </xf>
    <xf numFmtId="0" fontId="103" fillId="5" borderId="66" xfId="0" applyFont="1" applyFill="1" applyBorder="1" applyAlignment="1" applyProtection="1">
      <alignment horizontal="left" vertical="center" wrapText="1"/>
    </xf>
    <xf numFmtId="0" fontId="103" fillId="5" borderId="3" xfId="0" applyFont="1" applyFill="1" applyBorder="1" applyAlignment="1" applyProtection="1">
      <alignment horizontal="left" vertical="center"/>
    </xf>
    <xf numFmtId="10" fontId="103" fillId="3" borderId="2" xfId="0" applyNumberFormat="1" applyFont="1" applyFill="1" applyBorder="1" applyAlignment="1" applyProtection="1">
      <alignment horizontal="center" vertical="center"/>
    </xf>
    <xf numFmtId="0" fontId="103" fillId="11" borderId="39" xfId="0" applyFont="1" applyFill="1" applyBorder="1" applyAlignment="1" applyProtection="1">
      <alignment horizontal="center" vertical="center"/>
    </xf>
    <xf numFmtId="0" fontId="103" fillId="5" borderId="67" xfId="0" applyFont="1" applyFill="1" applyBorder="1" applyAlignment="1" applyProtection="1">
      <alignment horizontal="left" vertical="center" wrapText="1"/>
    </xf>
    <xf numFmtId="0" fontId="103" fillId="5" borderId="7" xfId="0" applyFont="1" applyFill="1" applyBorder="1" applyAlignment="1" applyProtection="1">
      <alignment horizontal="left" vertical="center"/>
    </xf>
    <xf numFmtId="10" fontId="103" fillId="3" borderId="4" xfId="0" applyNumberFormat="1" applyFont="1" applyFill="1" applyBorder="1" applyAlignment="1" applyProtection="1">
      <alignment horizontal="center" vertical="center"/>
    </xf>
    <xf numFmtId="0" fontId="103" fillId="5" borderId="68" xfId="0" applyFont="1" applyFill="1" applyBorder="1" applyAlignment="1" applyProtection="1">
      <alignment vertical="center"/>
    </xf>
    <xf numFmtId="0" fontId="103" fillId="5" borderId="20" xfId="0" applyFont="1" applyFill="1" applyBorder="1" applyAlignment="1" applyProtection="1">
      <alignment vertical="center"/>
    </xf>
    <xf numFmtId="0" fontId="103" fillId="11" borderId="42" xfId="0" applyFont="1" applyFill="1" applyBorder="1" applyAlignment="1" applyProtection="1">
      <alignment horizontal="center" vertical="center"/>
    </xf>
    <xf numFmtId="0" fontId="75" fillId="3" borderId="5" xfId="0" applyFont="1" applyFill="1" applyBorder="1" applyAlignment="1" applyProtection="1">
      <alignment vertical="center"/>
    </xf>
    <xf numFmtId="0" fontId="75" fillId="3" borderId="18" xfId="0" applyFont="1" applyFill="1" applyBorder="1" applyAlignment="1" applyProtection="1">
      <alignment vertical="center"/>
    </xf>
    <xf numFmtId="0" fontId="75" fillId="5" borderId="20" xfId="0" applyFont="1" applyFill="1" applyBorder="1" applyAlignment="1" applyProtection="1">
      <alignment vertical="center"/>
    </xf>
    <xf numFmtId="0" fontId="113" fillId="3" borderId="18" xfId="0" applyFont="1" applyFill="1" applyBorder="1" applyAlignment="1" applyProtection="1">
      <alignment horizontal="left"/>
    </xf>
    <xf numFmtId="0" fontId="127" fillId="3" borderId="0" xfId="0" applyFont="1" applyFill="1" applyAlignment="1" applyProtection="1">
      <alignment vertical="center"/>
    </xf>
    <xf numFmtId="0" fontId="108" fillId="5" borderId="5" xfId="0" applyFont="1" applyFill="1" applyBorder="1" applyAlignment="1" applyProtection="1">
      <alignment vertical="center"/>
    </xf>
    <xf numFmtId="0" fontId="108" fillId="5" borderId="20" xfId="0" applyFont="1" applyFill="1" applyBorder="1" applyAlignment="1" applyProtection="1">
      <alignment vertical="center"/>
    </xf>
    <xf numFmtId="0" fontId="108" fillId="5" borderId="18" xfId="0" applyFont="1" applyFill="1" applyBorder="1" applyAlignment="1" applyProtection="1">
      <alignment vertical="center"/>
    </xf>
    <xf numFmtId="0" fontId="103" fillId="5" borderId="1" xfId="0" applyFont="1" applyFill="1" applyBorder="1" applyAlignment="1" applyProtection="1">
      <alignment horizontal="left" vertical="center"/>
    </xf>
    <xf numFmtId="0" fontId="103" fillId="5" borderId="1" xfId="0" applyFont="1" applyFill="1" applyBorder="1" applyAlignment="1" applyProtection="1">
      <alignment horizontal="center" vertical="center"/>
    </xf>
    <xf numFmtId="0" fontId="103" fillId="5" borderId="7" xfId="0" applyFont="1" applyFill="1" applyBorder="1" applyAlignment="1" applyProtection="1">
      <alignment vertical="center"/>
    </xf>
    <xf numFmtId="0" fontId="108" fillId="5" borderId="21" xfId="0" applyFont="1" applyFill="1" applyBorder="1" applyAlignment="1" applyProtection="1">
      <alignment horizontal="left" vertical="center"/>
    </xf>
    <xf numFmtId="181" fontId="103" fillId="5" borderId="1" xfId="0" applyNumberFormat="1" applyFont="1" applyFill="1" applyBorder="1" applyAlignment="1" applyProtection="1">
      <alignment vertical="center"/>
    </xf>
    <xf numFmtId="0" fontId="103" fillId="3" borderId="0" xfId="0" applyFont="1" applyFill="1" applyAlignment="1" applyProtection="1">
      <alignment horizontal="left"/>
    </xf>
    <xf numFmtId="0" fontId="103" fillId="5" borderId="5" xfId="0" applyFont="1" applyFill="1" applyBorder="1" applyAlignment="1" applyProtection="1">
      <alignment vertical="center"/>
    </xf>
    <xf numFmtId="0" fontId="127" fillId="3" borderId="0" xfId="0" applyFont="1" applyFill="1" applyAlignment="1" applyProtection="1">
      <alignment horizontal="left"/>
    </xf>
    <xf numFmtId="0" fontId="103" fillId="5" borderId="3" xfId="0" applyFont="1" applyFill="1" applyBorder="1" applyAlignment="1" applyProtection="1">
      <alignment vertical="center"/>
    </xf>
    <xf numFmtId="0" fontId="108" fillId="5" borderId="20" xfId="0" applyFont="1" applyFill="1" applyBorder="1" applyAlignment="1" applyProtection="1">
      <alignment horizontal="left" vertical="center"/>
    </xf>
    <xf numFmtId="0" fontId="108" fillId="5" borderId="18" xfId="0" applyFont="1" applyFill="1" applyBorder="1" applyAlignment="1" applyProtection="1">
      <alignment horizontal="left" vertical="center"/>
    </xf>
    <xf numFmtId="181" fontId="103" fillId="5" borderId="5" xfId="0" applyNumberFormat="1" applyFont="1" applyFill="1" applyBorder="1" applyAlignment="1" applyProtection="1">
      <alignment vertical="center"/>
    </xf>
    <xf numFmtId="0" fontId="113" fillId="3" borderId="20" xfId="0" applyFont="1" applyFill="1" applyBorder="1" applyAlignment="1" applyProtection="1">
      <alignment vertical="center"/>
    </xf>
    <xf numFmtId="0" fontId="113" fillId="3" borderId="18" xfId="0" applyFont="1" applyFill="1" applyBorder="1" applyAlignment="1" applyProtection="1">
      <alignment vertical="center"/>
    </xf>
    <xf numFmtId="0" fontId="127" fillId="3" borderId="0" xfId="0" applyFont="1" applyFill="1" applyProtection="1"/>
    <xf numFmtId="0" fontId="108" fillId="5" borderId="1" xfId="0" applyFont="1" applyFill="1" applyBorder="1" applyAlignment="1" applyProtection="1">
      <alignment vertical="center"/>
    </xf>
    <xf numFmtId="0" fontId="103" fillId="5" borderId="5" xfId="0" applyFont="1" applyFill="1" applyBorder="1" applyAlignment="1" applyProtection="1">
      <alignment horizontal="center" vertical="center"/>
    </xf>
    <xf numFmtId="0" fontId="103" fillId="5" borderId="1" xfId="0" applyFont="1" applyFill="1" applyBorder="1" applyAlignment="1" applyProtection="1">
      <alignment vertical="center"/>
    </xf>
    <xf numFmtId="0" fontId="113" fillId="3" borderId="22" xfId="0" applyFont="1" applyFill="1" applyBorder="1" applyAlignment="1" applyProtection="1">
      <alignment vertical="center"/>
    </xf>
    <xf numFmtId="44" fontId="103" fillId="5" borderId="1" xfId="0" applyNumberFormat="1" applyFont="1" applyFill="1" applyBorder="1" applyAlignment="1" applyProtection="1">
      <alignment vertical="center"/>
    </xf>
    <xf numFmtId="0" fontId="108" fillId="5" borderId="20" xfId="0" applyFont="1" applyFill="1" applyBorder="1" applyAlignment="1" applyProtection="1">
      <alignment horizontal="justify" vertical="center"/>
    </xf>
    <xf numFmtId="0" fontId="108" fillId="5" borderId="18" xfId="0" applyFont="1" applyFill="1" applyBorder="1" applyAlignment="1" applyProtection="1">
      <alignment horizontal="justify" vertical="center"/>
    </xf>
    <xf numFmtId="0" fontId="75" fillId="47" borderId="5" xfId="8" applyFont="1" applyFill="1" applyBorder="1" applyAlignment="1" applyProtection="1">
      <alignment horizontal="left" vertical="center" wrapText="1"/>
    </xf>
    <xf numFmtId="0" fontId="75" fillId="47" borderId="20" xfId="8" applyFont="1" applyFill="1" applyBorder="1" applyAlignment="1" applyProtection="1">
      <alignment horizontal="left" vertical="center" wrapText="1"/>
    </xf>
    <xf numFmtId="0" fontId="75" fillId="47" borderId="18" xfId="8" applyFont="1" applyFill="1" applyBorder="1" applyAlignment="1" applyProtection="1">
      <alignment horizontal="left" vertical="center" wrapText="1"/>
    </xf>
    <xf numFmtId="170" fontId="103" fillId="3" borderId="1" xfId="8" applyNumberFormat="1" applyFont="1" applyFill="1" applyBorder="1" applyAlignment="1" applyProtection="1">
      <alignment horizontal="center" vertical="center" wrapText="1"/>
    </xf>
    <xf numFmtId="0" fontId="103" fillId="3" borderId="4" xfId="8" applyFont="1" applyFill="1" applyBorder="1" applyAlignment="1" applyProtection="1">
      <alignment horizontal="center" vertical="center" wrapText="1"/>
    </xf>
    <xf numFmtId="0" fontId="75" fillId="3" borderId="5" xfId="8" applyFont="1" applyFill="1" applyBorder="1" applyAlignment="1" applyProtection="1">
      <alignment horizontal="center" vertical="center" wrapText="1"/>
    </xf>
    <xf numFmtId="0" fontId="75" fillId="3" borderId="20" xfId="8" applyFont="1" applyFill="1" applyBorder="1" applyAlignment="1" applyProtection="1">
      <alignment horizontal="center" vertical="center" wrapText="1"/>
    </xf>
    <xf numFmtId="0" fontId="103" fillId="3" borderId="18" xfId="8" applyFont="1" applyFill="1" applyBorder="1" applyAlignment="1" applyProtection="1">
      <alignment horizontal="right" vertical="center" wrapText="1"/>
    </xf>
    <xf numFmtId="0" fontId="75" fillId="11" borderId="1" xfId="0" applyFont="1" applyFill="1" applyBorder="1" applyAlignment="1" applyProtection="1">
      <alignment horizontal="left" vertical="center"/>
    </xf>
    <xf numFmtId="0" fontId="75" fillId="11" borderId="1" xfId="0" applyFont="1" applyFill="1" applyBorder="1" applyAlignment="1" applyProtection="1">
      <alignment horizontal="center" vertical="center" wrapText="1"/>
    </xf>
    <xf numFmtId="0" fontId="75" fillId="3" borderId="8" xfId="0" applyFont="1" applyFill="1" applyBorder="1" applyAlignment="1" applyProtection="1">
      <alignment horizontal="left" vertical="center"/>
    </xf>
    <xf numFmtId="0" fontId="75" fillId="3" borderId="19" xfId="0" applyFont="1" applyFill="1" applyBorder="1" applyAlignment="1" applyProtection="1">
      <alignment horizontal="left" vertical="center"/>
    </xf>
    <xf numFmtId="0" fontId="75" fillId="3" borderId="9" xfId="0" applyFont="1" applyFill="1" applyBorder="1" applyAlignment="1" applyProtection="1">
      <alignment horizontal="left" vertical="center"/>
    </xf>
    <xf numFmtId="0" fontId="103" fillId="3" borderId="1" xfId="0" applyFont="1" applyFill="1" applyBorder="1" applyAlignment="1" applyProtection="1">
      <alignment horizontal="center" wrapText="1"/>
    </xf>
    <xf numFmtId="0" fontId="103" fillId="3" borderId="1" xfId="0" applyFont="1" applyFill="1" applyBorder="1" applyAlignment="1" applyProtection="1">
      <alignment horizontal="center" vertical="center" wrapText="1"/>
    </xf>
    <xf numFmtId="0" fontId="103" fillId="3" borderId="4" xfId="0" applyFont="1" applyFill="1" applyBorder="1" applyAlignment="1" applyProtection="1">
      <alignment horizontal="center" vertical="center"/>
    </xf>
    <xf numFmtId="0" fontId="103" fillId="11" borderId="1" xfId="0" applyFont="1" applyFill="1" applyBorder="1" applyAlignment="1" applyProtection="1">
      <alignment horizontal="center" vertical="center"/>
    </xf>
    <xf numFmtId="0" fontId="103" fillId="3" borderId="5" xfId="0" applyFont="1" applyFill="1" applyBorder="1" applyAlignment="1" applyProtection="1">
      <alignment horizontal="left" vertical="center" wrapText="1"/>
    </xf>
    <xf numFmtId="0" fontId="103" fillId="3" borderId="20" xfId="0" applyFont="1" applyFill="1" applyBorder="1" applyAlignment="1" applyProtection="1">
      <alignment horizontal="left" vertical="center" wrapText="1"/>
    </xf>
    <xf numFmtId="0" fontId="103" fillId="3" borderId="18" xfId="0" applyFont="1" applyFill="1" applyBorder="1" applyAlignment="1" applyProtection="1">
      <alignment horizontal="left" vertical="center" wrapText="1"/>
    </xf>
    <xf numFmtId="0" fontId="103" fillId="11" borderId="1" xfId="0" applyFont="1" applyFill="1" applyBorder="1" applyAlignment="1" applyProtection="1">
      <alignment horizontal="center" vertical="center"/>
    </xf>
    <xf numFmtId="0" fontId="103" fillId="3" borderId="8" xfId="0" applyFont="1" applyFill="1" applyBorder="1" applyAlignment="1" applyProtection="1">
      <alignment horizontal="left" vertical="center"/>
    </xf>
    <xf numFmtId="0" fontId="103" fillId="3" borderId="9" xfId="0" applyFont="1" applyFill="1" applyBorder="1" applyAlignment="1" applyProtection="1">
      <alignment horizontal="left" vertical="center"/>
    </xf>
    <xf numFmtId="0" fontId="103" fillId="3" borderId="3" xfId="0" applyFont="1" applyFill="1" applyBorder="1" applyAlignment="1" applyProtection="1">
      <alignment horizontal="left" vertical="center"/>
    </xf>
    <xf numFmtId="0" fontId="103" fillId="3" borderId="23" xfId="0" applyFont="1" applyFill="1" applyBorder="1" applyAlignment="1" applyProtection="1">
      <alignment horizontal="left" vertical="center"/>
    </xf>
    <xf numFmtId="0" fontId="103" fillId="3" borderId="7" xfId="0" applyFont="1" applyFill="1" applyBorder="1" applyAlignment="1" applyProtection="1">
      <alignment horizontal="left" vertical="center"/>
    </xf>
    <xf numFmtId="0" fontId="103" fillId="3" borderId="22" xfId="0" applyFont="1" applyFill="1" applyBorder="1" applyAlignment="1" applyProtection="1">
      <alignment horizontal="left" vertical="center"/>
    </xf>
    <xf numFmtId="0" fontId="113" fillId="11" borderId="5" xfId="0" applyFont="1" applyFill="1" applyBorder="1" applyAlignment="1" applyProtection="1">
      <alignment horizontal="center" vertical="center" wrapText="1"/>
    </xf>
    <xf numFmtId="0" fontId="113" fillId="11" borderId="20" xfId="0" applyFont="1" applyFill="1" applyBorder="1" applyAlignment="1" applyProtection="1">
      <alignment horizontal="center" vertical="center" wrapText="1"/>
    </xf>
    <xf numFmtId="0" fontId="113" fillId="11" borderId="18" xfId="0" applyFont="1" applyFill="1" applyBorder="1" applyAlignment="1" applyProtection="1">
      <alignment horizontal="center" vertical="center" wrapText="1"/>
    </xf>
    <xf numFmtId="1" fontId="113" fillId="11" borderId="1" xfId="0" applyNumberFormat="1" applyFont="1" applyFill="1" applyBorder="1" applyAlignment="1" applyProtection="1">
      <alignment horizontal="center" vertical="center" wrapText="1"/>
    </xf>
    <xf numFmtId="44" fontId="113" fillId="11" borderId="1" xfId="4" applyFont="1" applyFill="1" applyBorder="1" applyAlignment="1" applyProtection="1">
      <alignment horizontal="center" vertical="center" wrapText="1"/>
    </xf>
    <xf numFmtId="0" fontId="113" fillId="3" borderId="5" xfId="0" applyFont="1" applyFill="1" applyBorder="1" applyAlignment="1" applyProtection="1">
      <alignment horizontal="center"/>
    </xf>
    <xf numFmtId="0" fontId="113" fillId="3" borderId="20" xfId="0" applyFont="1" applyFill="1" applyBorder="1" applyAlignment="1" applyProtection="1">
      <alignment horizontal="center"/>
    </xf>
    <xf numFmtId="0" fontId="113" fillId="3" borderId="18" xfId="0" applyFont="1" applyFill="1" applyBorder="1" applyAlignment="1" applyProtection="1">
      <alignment horizontal="center"/>
    </xf>
    <xf numFmtId="0" fontId="113" fillId="3" borderId="1" xfId="0" applyFont="1" applyFill="1" applyBorder="1" applyAlignment="1" applyProtection="1">
      <alignment horizontal="left"/>
    </xf>
    <xf numFmtId="8" fontId="113" fillId="3" borderId="1" xfId="0" applyNumberFormat="1" applyFont="1" applyFill="1" applyBorder="1" applyAlignment="1" applyProtection="1">
      <alignment horizontal="center"/>
    </xf>
    <xf numFmtId="9" fontId="113" fillId="3" borderId="5" xfId="0" applyNumberFormat="1" applyFont="1" applyFill="1" applyBorder="1" applyAlignment="1" applyProtection="1">
      <alignment horizontal="center"/>
    </xf>
    <xf numFmtId="8" fontId="113" fillId="3" borderId="2" xfId="0" applyNumberFormat="1" applyFont="1" applyFill="1" applyBorder="1" applyAlignment="1" applyProtection="1">
      <alignment horizontal="center" vertical="center"/>
    </xf>
    <xf numFmtId="8" fontId="113" fillId="3" borderId="4" xfId="0" applyNumberFormat="1" applyFont="1" applyFill="1" applyBorder="1" applyAlignment="1" applyProtection="1">
      <alignment horizontal="center" vertical="center"/>
    </xf>
    <xf numFmtId="0" fontId="108" fillId="3" borderId="19" xfId="0" applyFont="1" applyFill="1" applyBorder="1" applyAlignment="1" applyProtection="1">
      <alignment horizontal="justify" vertical="center"/>
    </xf>
    <xf numFmtId="0" fontId="108" fillId="3" borderId="0" xfId="0" applyFont="1" applyFill="1" applyAlignment="1" applyProtection="1">
      <alignment horizontal="justify" vertical="center"/>
    </xf>
    <xf numFmtId="0" fontId="113" fillId="3" borderId="0" xfId="0" applyFont="1" applyFill="1" applyAlignment="1" applyProtection="1">
      <alignment horizontal="justify" vertical="center"/>
    </xf>
    <xf numFmtId="10" fontId="130" fillId="7" borderId="93" xfId="65" applyNumberFormat="1" applyFont="1" applyFill="1" applyBorder="1" applyAlignment="1" applyProtection="1">
      <alignment horizontal="center" vertical="center"/>
      <protection locked="0"/>
    </xf>
    <xf numFmtId="10" fontId="130" fillId="7" borderId="93" xfId="66" applyNumberFormat="1" applyFont="1" applyFill="1" applyBorder="1" applyAlignment="1" applyProtection="1">
      <alignment horizontal="center" vertical="center"/>
      <protection locked="0"/>
    </xf>
    <xf numFmtId="181" fontId="86" fillId="7" borderId="18" xfId="20" applyNumberFormat="1" applyFont="1" applyFill="1" applyBorder="1" applyAlignment="1" applyProtection="1">
      <alignment horizontal="center" vertical="center" wrapText="1"/>
      <protection locked="0"/>
    </xf>
    <xf numFmtId="181" fontId="69" fillId="7" borderId="18" xfId="17" applyNumberFormat="1" applyFont="1" applyFill="1" applyBorder="1" applyAlignment="1" applyProtection="1">
      <alignment horizontal="center"/>
      <protection locked="0"/>
    </xf>
    <xf numFmtId="0" fontId="122" fillId="45" borderId="0" xfId="0" applyFont="1" applyFill="1" applyAlignment="1" applyProtection="1">
      <alignment horizontal="left" wrapText="1"/>
    </xf>
    <xf numFmtId="0" fontId="38" fillId="3" borderId="0" xfId="0" applyFont="1" applyFill="1" applyProtection="1"/>
    <xf numFmtId="0" fontId="123" fillId="5" borderId="102" xfId="0" applyFont="1" applyFill="1" applyBorder="1" applyAlignment="1" applyProtection="1">
      <alignment horizontal="center" vertical="center"/>
    </xf>
    <xf numFmtId="0" fontId="126" fillId="46" borderId="7" xfId="0" applyFont="1" applyFill="1" applyBorder="1" applyAlignment="1" applyProtection="1">
      <alignment horizontal="center" vertical="center" wrapText="1"/>
    </xf>
    <xf numFmtId="0" fontId="126" fillId="46" borderId="21" xfId="0" applyFont="1" applyFill="1" applyBorder="1" applyAlignment="1" applyProtection="1">
      <alignment horizontal="center" vertical="center" wrapText="1"/>
    </xf>
    <xf numFmtId="0" fontId="42" fillId="0" borderId="0" xfId="0" applyFont="1" applyProtection="1"/>
    <xf numFmtId="0" fontId="92" fillId="45" borderId="89" xfId="0" applyFont="1" applyFill="1" applyBorder="1" applyAlignment="1" applyProtection="1">
      <alignment horizontal="center" vertical="center" wrapText="1"/>
    </xf>
    <xf numFmtId="0" fontId="122" fillId="45" borderId="89" xfId="0" applyFont="1" applyFill="1" applyBorder="1" applyAlignment="1" applyProtection="1">
      <alignment horizontal="center" vertical="center" wrapText="1"/>
    </xf>
    <xf numFmtId="44" fontId="92" fillId="45" borderId="90" xfId="0" applyNumberFormat="1" applyFont="1" applyFill="1" applyBorder="1" applyAlignment="1" applyProtection="1">
      <alignment horizontal="center" vertical="center" wrapText="1"/>
    </xf>
    <xf numFmtId="0" fontId="40" fillId="15" borderId="3" xfId="24" applyFont="1" applyFill="1" applyBorder="1" applyAlignment="1" applyProtection="1">
      <alignment horizontal="center" vertical="center" wrapText="1"/>
    </xf>
    <xf numFmtId="0" fontId="93" fillId="0" borderId="0" xfId="0" applyFont="1" applyProtection="1"/>
    <xf numFmtId="0" fontId="42" fillId="0" borderId="4" xfId="24" applyFont="1" applyBorder="1" applyAlignment="1" applyProtection="1">
      <alignment horizontal="center" vertical="center" wrapText="1"/>
    </xf>
    <xf numFmtId="0" fontId="42" fillId="0" borderId="4" xfId="24" applyFont="1" applyBorder="1" applyAlignment="1" applyProtection="1">
      <alignment horizontal="left" vertical="center" wrapText="1"/>
    </xf>
    <xf numFmtId="0" fontId="42" fillId="0" borderId="7" xfId="24" applyFont="1" applyBorder="1" applyAlignment="1" applyProtection="1">
      <alignment horizontal="center" vertical="center" wrapText="1"/>
    </xf>
    <xf numFmtId="0" fontId="43" fillId="0" borderId="1" xfId="24" applyFont="1" applyBorder="1" applyAlignment="1" applyProtection="1">
      <alignment horizontal="center" vertical="center"/>
    </xf>
    <xf numFmtId="0" fontId="42" fillId="0" borderId="21" xfId="24" applyFont="1" applyBorder="1" applyAlignment="1" applyProtection="1">
      <alignment horizontal="center" vertical="center" wrapText="1"/>
    </xf>
    <xf numFmtId="44" fontId="42" fillId="0" borderId="1" xfId="0" applyNumberFormat="1" applyFont="1" applyBorder="1" applyProtection="1"/>
    <xf numFmtId="44" fontId="93" fillId="0" borderId="0" xfId="0" applyNumberFormat="1" applyFont="1" applyProtection="1"/>
    <xf numFmtId="0" fontId="42" fillId="0" borderId="1" xfId="24" applyFont="1" applyBorder="1" applyAlignment="1" applyProtection="1">
      <alignment horizontal="center" vertical="center" wrapText="1"/>
    </xf>
    <xf numFmtId="0" fontId="42" fillId="0" borderId="1" xfId="24" applyFont="1" applyBorder="1" applyAlignment="1" applyProtection="1">
      <alignment horizontal="left" vertical="center" wrapText="1"/>
    </xf>
    <xf numFmtId="0" fontId="42" fillId="0" borderId="5" xfId="24" applyFont="1" applyBorder="1" applyAlignment="1" applyProtection="1">
      <alignment horizontal="center" vertical="center" wrapText="1"/>
    </xf>
    <xf numFmtId="44" fontId="43" fillId="7" borderId="1" xfId="25" applyFont="1" applyFill="1" applyBorder="1" applyAlignment="1" applyProtection="1">
      <alignment horizontal="center" vertical="center"/>
    </xf>
    <xf numFmtId="0" fontId="42" fillId="3" borderId="1" xfId="24" applyFont="1" applyFill="1" applyBorder="1" applyAlignment="1" applyProtection="1">
      <alignment horizontal="left" vertical="center" wrapText="1"/>
    </xf>
    <xf numFmtId="0" fontId="44" fillId="0" borderId="0" xfId="0" applyFont="1" applyAlignment="1" applyProtection="1">
      <alignment vertical="center"/>
    </xf>
    <xf numFmtId="0" fontId="42" fillId="0" borderId="2" xfId="24" applyFont="1" applyBorder="1" applyAlignment="1" applyProtection="1">
      <alignment horizontal="left" vertical="center" wrapText="1"/>
    </xf>
    <xf numFmtId="0" fontId="43" fillId="0" borderId="1" xfId="24" applyFont="1" applyBorder="1" applyAlignment="1" applyProtection="1">
      <alignment vertical="center" wrapText="1"/>
    </xf>
    <xf numFmtId="0" fontId="100" fillId="0" borderId="0" xfId="0" applyFont="1" applyAlignment="1" applyProtection="1">
      <alignment horizontal="justify" vertical="center"/>
    </xf>
    <xf numFmtId="0" fontId="93" fillId="0" borderId="1" xfId="0" applyFont="1" applyBorder="1" applyProtection="1"/>
    <xf numFmtId="0" fontId="40" fillId="0" borderId="5" xfId="24" applyFont="1" applyBorder="1" applyAlignment="1" applyProtection="1">
      <alignment horizontal="right" vertical="center" wrapText="1"/>
    </xf>
    <xf numFmtId="0" fontId="40" fillId="0" borderId="20" xfId="24" applyFont="1" applyBorder="1" applyAlignment="1" applyProtection="1">
      <alignment horizontal="right" vertical="center" wrapText="1"/>
    </xf>
    <xf numFmtId="0" fontId="40" fillId="0" borderId="18" xfId="24" applyFont="1" applyBorder="1" applyAlignment="1" applyProtection="1">
      <alignment horizontal="right" vertical="center" wrapText="1"/>
    </xf>
    <xf numFmtId="44" fontId="40" fillId="0" borderId="1" xfId="24" applyNumberFormat="1" applyFont="1" applyBorder="1" applyAlignment="1" applyProtection="1">
      <alignment vertical="center" wrapText="1"/>
    </xf>
    <xf numFmtId="44" fontId="40" fillId="0" borderId="1" xfId="0" applyNumberFormat="1" applyFont="1" applyBorder="1" applyProtection="1"/>
    <xf numFmtId="0" fontId="43" fillId="0" borderId="0" xfId="24" applyFont="1" applyAlignment="1" applyProtection="1">
      <alignment horizontal="center" vertical="center"/>
    </xf>
    <xf numFmtId="44" fontId="42" fillId="0" borderId="0" xfId="0" applyNumberFormat="1" applyFont="1" applyProtection="1"/>
    <xf numFmtId="0" fontId="122" fillId="45" borderId="0" xfId="0" applyFont="1" applyFill="1" applyAlignment="1" applyProtection="1">
      <alignment vertical="center" wrapText="1"/>
    </xf>
    <xf numFmtId="0" fontId="92" fillId="45" borderId="0" xfId="0" applyFont="1" applyFill="1" applyAlignment="1" applyProtection="1">
      <alignment wrapText="1"/>
    </xf>
    <xf numFmtId="0" fontId="40" fillId="3" borderId="1" xfId="24" applyFont="1" applyFill="1" applyBorder="1" applyAlignment="1" applyProtection="1">
      <alignment horizontal="center" vertical="center" wrapText="1"/>
    </xf>
    <xf numFmtId="0" fontId="42" fillId="0" borderId="0" xfId="24" applyFont="1" applyProtection="1"/>
    <xf numFmtId="0" fontId="94" fillId="45" borderId="89" xfId="0" applyFont="1" applyFill="1" applyBorder="1" applyAlignment="1" applyProtection="1">
      <alignment horizontal="center" vertical="center" wrapText="1"/>
    </xf>
    <xf numFmtId="0" fontId="42" fillId="0" borderId="4" xfId="24" applyFont="1" applyBorder="1" applyAlignment="1" applyProtection="1">
      <alignment horizontal="center" vertical="center"/>
    </xf>
    <xf numFmtId="0" fontId="42" fillId="0" borderId="4" xfId="24" applyFont="1" applyBorder="1" applyAlignment="1" applyProtection="1">
      <alignment horizontal="justify" vertical="center" wrapText="1"/>
    </xf>
    <xf numFmtId="0" fontId="42" fillId="0" borderId="1" xfId="0" applyFont="1" applyBorder="1" applyAlignment="1" applyProtection="1">
      <alignment horizontal="right"/>
    </xf>
    <xf numFmtId="0" fontId="42" fillId="3" borderId="7" xfId="24" applyFont="1" applyFill="1" applyBorder="1" applyAlignment="1" applyProtection="1">
      <alignment horizontal="center" vertical="center"/>
    </xf>
    <xf numFmtId="44" fontId="42" fillId="0" borderId="0" xfId="24" applyNumberFormat="1" applyFont="1" applyProtection="1"/>
    <xf numFmtId="0" fontId="42" fillId="0" borderId="1" xfId="24" applyFont="1" applyBorder="1" applyAlignment="1" applyProtection="1">
      <alignment horizontal="right" vertical="center"/>
    </xf>
    <xf numFmtId="0" fontId="42" fillId="0" borderId="7" xfId="24" applyFont="1" applyBorder="1" applyAlignment="1" applyProtection="1">
      <alignment horizontal="center" vertical="center"/>
    </xf>
    <xf numFmtId="0" fontId="42" fillId="0" borderId="1" xfId="24" applyFont="1" applyBorder="1" applyAlignment="1" applyProtection="1">
      <alignment horizontal="justify" vertical="center" wrapText="1"/>
    </xf>
    <xf numFmtId="0" fontId="42" fillId="3" borderId="5" xfId="24" applyFont="1" applyFill="1" applyBorder="1" applyAlignment="1" applyProtection="1">
      <alignment horizontal="center" vertical="center"/>
    </xf>
    <xf numFmtId="0" fontId="42" fillId="0" borderId="1" xfId="24" applyFont="1" applyBorder="1" applyAlignment="1" applyProtection="1">
      <alignment horizontal="justify" vertical="center"/>
    </xf>
    <xf numFmtId="0" fontId="42" fillId="0" borderId="1" xfId="24" applyFont="1" applyBorder="1" applyAlignment="1" applyProtection="1">
      <alignment horizontal="center" vertical="center"/>
    </xf>
    <xf numFmtId="0" fontId="42" fillId="3" borderId="1" xfId="24" applyFont="1" applyFill="1" applyBorder="1" applyAlignment="1" applyProtection="1">
      <alignment horizontal="center" vertical="center"/>
    </xf>
    <xf numFmtId="0" fontId="42" fillId="0" borderId="1" xfId="0" applyFont="1" applyBorder="1" applyAlignment="1" applyProtection="1">
      <alignment vertical="center"/>
    </xf>
    <xf numFmtId="0" fontId="42" fillId="0" borderId="0" xfId="0" applyFont="1" applyAlignment="1" applyProtection="1">
      <alignment horizontal="center" vertical="center"/>
    </xf>
    <xf numFmtId="0" fontId="42" fillId="0" borderId="1" xfId="0" applyFont="1" applyBorder="1" applyProtection="1"/>
    <xf numFmtId="0" fontId="86" fillId="0" borderId="5" xfId="24" applyFont="1" applyBorder="1" applyAlignment="1" applyProtection="1">
      <alignment horizontal="right" vertical="center" wrapText="1"/>
    </xf>
    <xf numFmtId="0" fontId="86" fillId="0" borderId="20" xfId="24" applyFont="1" applyBorder="1" applyAlignment="1" applyProtection="1">
      <alignment horizontal="right" vertical="center" wrapText="1"/>
    </xf>
    <xf numFmtId="0" fontId="86" fillId="0" borderId="18" xfId="24" applyFont="1" applyBorder="1" applyAlignment="1" applyProtection="1">
      <alignment horizontal="right" vertical="center" wrapText="1"/>
    </xf>
    <xf numFmtId="179" fontId="42" fillId="0" borderId="1" xfId="24" applyNumberFormat="1" applyFont="1" applyBorder="1" applyAlignment="1" applyProtection="1">
      <alignment horizontal="left" vertical="center" wrapText="1" indent="5"/>
    </xf>
    <xf numFmtId="0" fontId="86" fillId="15" borderId="5" xfId="24" applyFont="1" applyFill="1" applyBorder="1" applyAlignment="1" applyProtection="1">
      <alignment horizontal="right" vertical="center" wrapText="1"/>
    </xf>
    <xf numFmtId="0" fontId="86" fillId="15" borderId="20" xfId="24" applyFont="1" applyFill="1" applyBorder="1" applyAlignment="1" applyProtection="1">
      <alignment horizontal="right" vertical="center" wrapText="1"/>
    </xf>
    <xf numFmtId="0" fontId="40" fillId="0" borderId="0" xfId="24" applyFont="1" applyAlignment="1" applyProtection="1">
      <alignment horizontal="center" vertical="center"/>
    </xf>
    <xf numFmtId="0" fontId="40" fillId="0" borderId="0" xfId="24" applyFont="1" applyAlignment="1" applyProtection="1">
      <alignment horizontal="right" vertical="center"/>
    </xf>
    <xf numFmtId="44" fontId="40" fillId="0" borderId="0" xfId="24" applyNumberFormat="1" applyFont="1" applyAlignment="1" applyProtection="1">
      <alignment horizontal="center" vertical="center"/>
    </xf>
    <xf numFmtId="0" fontId="42" fillId="0" borderId="0" xfId="0" applyFont="1" applyAlignment="1" applyProtection="1">
      <alignment horizontal="right"/>
    </xf>
    <xf numFmtId="0" fontId="122" fillId="45" borderId="0" xfId="0" applyFont="1" applyFill="1" applyAlignment="1" applyProtection="1">
      <alignment horizontal="left" vertical="center" wrapText="1"/>
    </xf>
    <xf numFmtId="0" fontId="124" fillId="4" borderId="0" xfId="0" applyFont="1" applyFill="1" applyAlignment="1" applyProtection="1">
      <alignment horizontal="center" vertical="center"/>
    </xf>
    <xf numFmtId="0" fontId="42" fillId="0" borderId="0" xfId="0" applyFont="1" applyAlignment="1" applyProtection="1">
      <alignment horizontal="center" vertical="center" wrapText="1"/>
    </xf>
    <xf numFmtId="0" fontId="38" fillId="0" borderId="0" xfId="0" applyFont="1" applyAlignment="1" applyProtection="1">
      <alignment horizontal="center" vertical="center" wrapText="1"/>
    </xf>
    <xf numFmtId="0" fontId="128" fillId="0" borderId="80" xfId="21" applyFont="1" applyBorder="1" applyAlignment="1" applyProtection="1">
      <alignment horizontal="center" wrapText="1"/>
    </xf>
    <xf numFmtId="0" fontId="128" fillId="0" borderId="18" xfId="21" applyFont="1" applyBorder="1" applyAlignment="1" applyProtection="1">
      <alignment horizontal="center" wrapText="1"/>
    </xf>
    <xf numFmtId="0" fontId="128" fillId="0" borderId="1" xfId="21" applyFont="1" applyBorder="1" applyAlignment="1" applyProtection="1">
      <alignment horizontal="center" wrapText="1"/>
    </xf>
    <xf numFmtId="0" fontId="128" fillId="0" borderId="81" xfId="21" applyFont="1" applyBorder="1" applyAlignment="1" applyProtection="1">
      <alignment horizontal="center" wrapText="1"/>
    </xf>
    <xf numFmtId="0" fontId="103" fillId="0" borderId="0" xfId="0" applyFont="1" applyAlignment="1" applyProtection="1">
      <alignment horizontal="center" vertical="center" wrapText="1"/>
    </xf>
    <xf numFmtId="0" fontId="113" fillId="0" borderId="0" xfId="0" applyFont="1" applyAlignment="1" applyProtection="1">
      <alignment horizontal="center" vertical="center" wrapText="1"/>
    </xf>
    <xf numFmtId="0" fontId="129" fillId="0" borderId="25" xfId="21" applyFont="1" applyBorder="1" applyAlignment="1" applyProtection="1">
      <alignment horizontal="center" wrapText="1"/>
    </xf>
    <xf numFmtId="0" fontId="129" fillId="0" borderId="9" xfId="21" applyFont="1" applyBorder="1" applyAlignment="1" applyProtection="1">
      <alignment horizontal="center" wrapText="1"/>
    </xf>
    <xf numFmtId="0" fontId="129" fillId="0" borderId="2" xfId="21" applyFont="1" applyBorder="1" applyAlignment="1" applyProtection="1">
      <alignment horizontal="center" wrapText="1"/>
    </xf>
    <xf numFmtId="0" fontId="129" fillId="0" borderId="24" xfId="21" applyFont="1" applyBorder="1" applyAlignment="1" applyProtection="1">
      <alignment horizontal="center" wrapText="1"/>
    </xf>
    <xf numFmtId="0" fontId="67" fillId="0" borderId="0" xfId="0" applyFont="1" applyAlignment="1" applyProtection="1">
      <alignment horizontal="center" vertical="center" wrapText="1"/>
    </xf>
    <xf numFmtId="0" fontId="68" fillId="0" borderId="0" xfId="0" applyFont="1" applyAlignment="1" applyProtection="1">
      <alignment horizontal="center" vertical="center" wrapText="1"/>
    </xf>
    <xf numFmtId="0" fontId="129" fillId="0" borderId="82" xfId="21" applyFont="1" applyBorder="1" applyAlignment="1" applyProtection="1">
      <alignment horizontal="center" vertical="center" wrapText="1"/>
    </xf>
    <xf numFmtId="0" fontId="129" fillId="0" borderId="83" xfId="21" applyFont="1" applyBorder="1" applyAlignment="1" applyProtection="1">
      <alignment horizontal="center" vertical="center" wrapText="1"/>
    </xf>
    <xf numFmtId="0" fontId="129" fillId="0" borderId="84" xfId="21" applyFont="1" applyBorder="1" applyAlignment="1" applyProtection="1">
      <alignment horizontal="center" vertical="center" wrapText="1"/>
    </xf>
    <xf numFmtId="182" fontId="129" fillId="0" borderId="84" xfId="22" applyFont="1" applyFill="1" applyBorder="1" applyAlignment="1" applyProtection="1">
      <alignment horizontal="center" vertical="center"/>
    </xf>
    <xf numFmtId="182" fontId="129" fillId="0" borderId="84" xfId="22" applyFont="1" applyFill="1" applyBorder="1" applyAlignment="1" applyProtection="1">
      <alignment horizontal="center" vertical="center" wrapText="1"/>
    </xf>
    <xf numFmtId="190" fontId="129" fillId="0" borderId="84" xfId="22" applyNumberFormat="1" applyFont="1" applyFill="1" applyBorder="1" applyAlignment="1" applyProtection="1">
      <alignment horizontal="center" vertical="center" wrapText="1"/>
    </xf>
    <xf numFmtId="190" fontId="129" fillId="0" borderId="85" xfId="22" applyNumberFormat="1" applyFont="1" applyFill="1" applyBorder="1" applyAlignment="1" applyProtection="1">
      <alignment horizontal="center" vertical="center" wrapText="1"/>
    </xf>
    <xf numFmtId="0" fontId="130" fillId="0" borderId="80" xfId="7" applyFont="1" applyBorder="1" applyAlignment="1" applyProtection="1">
      <alignment horizontal="center" vertical="center"/>
    </xf>
    <xf numFmtId="0" fontId="130" fillId="0" borderId="18" xfId="7" applyFont="1" applyBorder="1" applyAlignment="1" applyProtection="1">
      <alignment horizontal="center" vertical="center"/>
    </xf>
    <xf numFmtId="0" fontId="130" fillId="0" borderId="1" xfId="7" applyFont="1" applyBorder="1" applyAlignment="1" applyProtection="1">
      <alignment horizontal="justify" vertical="center"/>
    </xf>
    <xf numFmtId="0" fontId="130" fillId="34" borderId="1" xfId="21" applyFont="1" applyFill="1" applyBorder="1" applyAlignment="1" applyProtection="1">
      <alignment horizontal="center" vertical="center"/>
    </xf>
    <xf numFmtId="1" fontId="130" fillId="34" borderId="1" xfId="21" applyNumberFormat="1" applyFont="1" applyFill="1" applyBorder="1" applyAlignment="1" applyProtection="1">
      <alignment horizontal="center" vertical="center"/>
    </xf>
    <xf numFmtId="190" fontId="130" fillId="34" borderId="1" xfId="21" applyNumberFormat="1" applyFont="1" applyFill="1" applyBorder="1" applyAlignment="1" applyProtection="1">
      <alignment horizontal="center" vertical="center"/>
    </xf>
    <xf numFmtId="190" fontId="130" fillId="34" borderId="81" xfId="21" applyNumberFormat="1" applyFont="1" applyFill="1" applyBorder="1" applyAlignment="1" applyProtection="1">
      <alignment horizontal="center" vertical="center"/>
    </xf>
    <xf numFmtId="181" fontId="67" fillId="0" borderId="0" xfId="0" applyNumberFormat="1" applyFont="1" applyAlignment="1" applyProtection="1">
      <alignment horizontal="center" vertical="center" wrapText="1"/>
    </xf>
    <xf numFmtId="181" fontId="68" fillId="0" borderId="0" xfId="0" applyNumberFormat="1" applyFont="1" applyAlignment="1" applyProtection="1">
      <alignment horizontal="center" vertical="center" wrapText="1"/>
    </xf>
    <xf numFmtId="0" fontId="130" fillId="3" borderId="80" xfId="7" applyFont="1" applyFill="1" applyBorder="1" applyAlignment="1" applyProtection="1">
      <alignment horizontal="center" vertical="center"/>
    </xf>
    <xf numFmtId="0" fontId="130" fillId="3" borderId="18" xfId="7" applyFont="1" applyFill="1" applyBorder="1" applyAlignment="1" applyProtection="1">
      <alignment horizontal="center" vertical="center"/>
    </xf>
    <xf numFmtId="0" fontId="130" fillId="3" borderId="1" xfId="8" applyFont="1" applyFill="1" applyBorder="1" applyAlignment="1" applyProtection="1">
      <alignment horizontal="left" vertical="center"/>
    </xf>
    <xf numFmtId="0" fontId="130" fillId="40" borderId="1" xfId="21" applyFont="1" applyFill="1" applyBorder="1" applyAlignment="1" applyProtection="1">
      <alignment horizontal="center" vertical="center"/>
    </xf>
    <xf numFmtId="190" fontId="130" fillId="40" borderId="1" xfId="21" applyNumberFormat="1" applyFont="1" applyFill="1" applyBorder="1" applyAlignment="1" applyProtection="1">
      <alignment horizontal="center" vertical="center"/>
    </xf>
    <xf numFmtId="190" fontId="130" fillId="40" borderId="81" xfId="21" applyNumberFormat="1" applyFont="1" applyFill="1" applyBorder="1" applyAlignment="1" applyProtection="1">
      <alignment horizontal="center" vertical="center"/>
    </xf>
    <xf numFmtId="0" fontId="67" fillId="3" borderId="0" xfId="0" applyFont="1" applyFill="1" applyAlignment="1" applyProtection="1">
      <alignment horizontal="center" vertical="center" wrapText="1"/>
    </xf>
    <xf numFmtId="0" fontId="68" fillId="3" borderId="0" xfId="0" applyFont="1" applyFill="1" applyAlignment="1" applyProtection="1">
      <alignment horizontal="center" vertical="center" wrapText="1"/>
    </xf>
    <xf numFmtId="0" fontId="86" fillId="3" borderId="0" xfId="0" applyFont="1" applyFill="1" applyAlignment="1" applyProtection="1">
      <alignment horizontal="center" vertical="center" wrapText="1"/>
    </xf>
    <xf numFmtId="0" fontId="129" fillId="0" borderId="82" xfId="18" applyFont="1" applyFill="1" applyBorder="1" applyAlignment="1" applyProtection="1">
      <alignment horizontal="right"/>
    </xf>
    <xf numFmtId="0" fontId="129" fillId="0" borderId="83" xfId="18" applyFont="1" applyFill="1" applyBorder="1" applyAlignment="1" applyProtection="1">
      <alignment horizontal="right"/>
    </xf>
    <xf numFmtId="0" fontId="129" fillId="0" borderId="84" xfId="18" applyFont="1" applyFill="1" applyBorder="1" applyAlignment="1" applyProtection="1">
      <alignment horizontal="right"/>
    </xf>
    <xf numFmtId="190" fontId="130" fillId="0" borderId="84" xfId="23" applyNumberFormat="1" applyFont="1" applyFill="1" applyBorder="1" applyAlignment="1" applyProtection="1">
      <alignment horizontal="center"/>
    </xf>
    <xf numFmtId="190" fontId="130" fillId="0" borderId="85" xfId="23" applyNumberFormat="1" applyFont="1" applyFill="1" applyBorder="1" applyAlignment="1" applyProtection="1">
      <alignment horizontal="right"/>
    </xf>
    <xf numFmtId="0" fontId="129" fillId="0" borderId="80" xfId="18" applyFont="1" applyFill="1" applyBorder="1" applyAlignment="1" applyProtection="1">
      <alignment horizontal="right"/>
    </xf>
    <xf numFmtId="0" fontId="129" fillId="0" borderId="18" xfId="18" applyFont="1" applyFill="1" applyBorder="1" applyAlignment="1" applyProtection="1">
      <alignment horizontal="right"/>
    </xf>
    <xf numFmtId="0" fontId="129" fillId="0" borderId="1" xfId="18" applyFont="1" applyFill="1" applyBorder="1" applyAlignment="1" applyProtection="1">
      <alignment horizontal="right"/>
    </xf>
    <xf numFmtId="10" fontId="129" fillId="3" borderId="81" xfId="19" applyNumberFormat="1" applyFont="1" applyFill="1" applyBorder="1" applyAlignment="1" applyProtection="1">
      <alignment horizontal="right"/>
    </xf>
    <xf numFmtId="189" fontId="130" fillId="0" borderId="81" xfId="4" applyNumberFormat="1" applyFont="1" applyFill="1" applyBorder="1" applyAlignment="1" applyProtection="1">
      <alignment horizontal="right"/>
    </xf>
    <xf numFmtId="0" fontId="129" fillId="0" borderId="86" xfId="18" applyFont="1" applyFill="1" applyBorder="1" applyAlignment="1" applyProtection="1">
      <alignment horizontal="right"/>
    </xf>
    <xf numFmtId="0" fontId="129" fillId="0" borderId="87" xfId="18" applyFont="1" applyFill="1" applyBorder="1" applyAlignment="1" applyProtection="1">
      <alignment horizontal="right"/>
    </xf>
    <xf numFmtId="0" fontId="129" fillId="0" borderId="79" xfId="18" applyFont="1" applyFill="1" applyBorder="1" applyAlignment="1" applyProtection="1">
      <alignment horizontal="right"/>
    </xf>
    <xf numFmtId="189" fontId="130" fillId="0" borderId="88" xfId="4" applyNumberFormat="1" applyFont="1" applyFill="1" applyBorder="1" applyAlignment="1" applyProtection="1">
      <alignment horizontal="right"/>
    </xf>
    <xf numFmtId="183" fontId="130" fillId="49" borderId="1" xfId="21" applyNumberFormat="1" applyFont="1" applyFill="1" applyBorder="1" applyAlignment="1" applyProtection="1">
      <alignment horizontal="center" vertical="center"/>
      <protection locked="0"/>
    </xf>
    <xf numFmtId="183" fontId="130" fillId="49" borderId="2" xfId="21" applyNumberFormat="1" applyFont="1" applyFill="1" applyBorder="1" applyAlignment="1" applyProtection="1">
      <alignment horizontal="center" vertical="center"/>
      <protection locked="0"/>
    </xf>
    <xf numFmtId="166" fontId="138" fillId="3" borderId="81" xfId="19" applyNumberFormat="1" applyFont="1" applyFill="1" applyBorder="1"/>
  </cellXfs>
  <cellStyles count="68">
    <cellStyle name="40% - Ênfase4" xfId="19" builtinId="43"/>
    <cellStyle name="Ênfase1" xfId="18" builtinId="29"/>
    <cellStyle name="Excel_BuiltIn_Currency" xfId="1" xr:uid="{00000000-0005-0000-0000-000000000000}"/>
    <cellStyle name="Heading" xfId="2" xr:uid="{00000000-0005-0000-0000-000001000000}"/>
    <cellStyle name="Heading1" xfId="3" xr:uid="{00000000-0005-0000-0000-000002000000}"/>
    <cellStyle name="Moeda" xfId="4" builtinId="4"/>
    <cellStyle name="Moeda 2" xfId="23" xr:uid="{71382EE0-A7FD-4180-8EE9-65F07824CA9C}"/>
    <cellStyle name="Moeda 2 2" xfId="27" xr:uid="{F07951D2-457B-47C4-9C1A-E0DFA5E0AA47}"/>
    <cellStyle name="Moeda 2 2 2" xfId="28" xr:uid="{E9F29222-9518-42B2-BFE5-80B4327E0758}"/>
    <cellStyle name="Moeda 2 3" xfId="29" xr:uid="{ABBD4E4D-12ED-4D37-9127-C1D1272202F7}"/>
    <cellStyle name="Moeda 2 3 2" xfId="30" xr:uid="{CDC60271-2B94-4327-9BA5-3EBE64EAB182}"/>
    <cellStyle name="Moeda 2 4" xfId="31" xr:uid="{B8C65F9C-C5EC-4593-8438-DD918A6DF811}"/>
    <cellStyle name="Moeda 2 4 2" xfId="32" xr:uid="{DF9A9005-7DE3-4921-8615-7AA2FC83EE05}"/>
    <cellStyle name="Moeda 2 5" xfId="33" xr:uid="{FCE85911-68D1-45BF-9C30-CF70946BFC29}"/>
    <cellStyle name="Moeda 2 6" xfId="34" xr:uid="{BC72540C-EA07-4137-AA4B-74E3DCA4B31C}"/>
    <cellStyle name="Moeda 2 7" xfId="26" xr:uid="{697B33FE-3FFF-4673-80F5-6A893BA8B39D}"/>
    <cellStyle name="Moeda 3" xfId="35" xr:uid="{E1D1E51D-C11D-49DB-9E48-15496F6B897B}"/>
    <cellStyle name="Moeda 3 2" xfId="36" xr:uid="{DE5D8EC2-182D-48D3-8301-EB23D250C94A}"/>
    <cellStyle name="Moeda 3 3" xfId="37" xr:uid="{63F6F8EC-D382-404E-B3A7-715A91CF7451}"/>
    <cellStyle name="Moeda 4" xfId="5" xr:uid="{00000000-0005-0000-0000-000004000000}"/>
    <cellStyle name="Moeda 4 2" xfId="38" xr:uid="{626227EF-7044-4CEF-8305-CF30CF45D4F4}"/>
    <cellStyle name="Moeda 5" xfId="25" xr:uid="{C2BF0E10-7AD4-4A62-95FB-20325CED20B3}"/>
    <cellStyle name="Normal" xfId="0" builtinId="0" customBuiltin="1"/>
    <cellStyle name="Normal 19" xfId="65" xr:uid="{404660B5-453B-4D97-9AFE-B27D36F86AF8}"/>
    <cellStyle name="Normal 2" xfId="6" xr:uid="{00000000-0005-0000-0000-000006000000}"/>
    <cellStyle name="Normal 2 2" xfId="7" xr:uid="{00000000-0005-0000-0000-000007000000}"/>
    <cellStyle name="Normal 2 2 2" xfId="40" xr:uid="{20300B4D-DC70-4DB6-89DC-120A8C1B8EDF}"/>
    <cellStyle name="Normal 2 3" xfId="39" xr:uid="{2E0E90FA-2E16-4B40-8D0C-D3FFD4AE2E2C}"/>
    <cellStyle name="Normal 3" xfId="8" xr:uid="{00000000-0005-0000-0000-000008000000}"/>
    <cellStyle name="Normal 3 2" xfId="42" xr:uid="{874EF91D-59C9-4FBD-B56A-E873E01BB02B}"/>
    <cellStyle name="Normal 3 3" xfId="43" xr:uid="{D588361A-4E06-4B7A-8F6D-3F1CDF253304}"/>
    <cellStyle name="Normal 3 4" xfId="41" xr:uid="{B4527AD4-C492-4C2B-A9E3-892372419972}"/>
    <cellStyle name="Normal 4" xfId="9" xr:uid="{00000000-0005-0000-0000-000009000000}"/>
    <cellStyle name="Normal 4 2" xfId="45" xr:uid="{C553B799-CD2F-41A9-A07C-CE2AADD39CB3}"/>
    <cellStyle name="Normal 4 3" xfId="44" xr:uid="{46FF17A0-093C-4448-9CC2-1512598C993E}"/>
    <cellStyle name="Normal 5" xfId="46" xr:uid="{D5F48D7B-946C-41D7-8CE1-77229A99B64F}"/>
    <cellStyle name="Normal 6" xfId="47" xr:uid="{5C5D9AD8-B1BA-4851-9C81-FD783CBFB101}"/>
    <cellStyle name="Normal 7" xfId="20" xr:uid="{88C0D8D2-9121-413F-996D-5BAFDF9AF616}"/>
    <cellStyle name="Normal 8" xfId="24" xr:uid="{0492A939-F34F-48EF-AB44-BCF60F00FD79}"/>
    <cellStyle name="Normal_ANEXO II - Planilha Estimativa de Custos" xfId="21" xr:uid="{3E8727B2-7A13-40A3-AEFA-B306AAF631FF}"/>
    <cellStyle name="Porcentagem" xfId="10" builtinId="5"/>
    <cellStyle name="Porcentagem 2" xfId="49" xr:uid="{7464949A-E8B3-4CD7-B3F7-B33D5B579B18}"/>
    <cellStyle name="Porcentagem 3" xfId="48" xr:uid="{57B3AE25-976F-4188-81C3-BDC6C0B9A130}"/>
    <cellStyle name="Porcentagem 4" xfId="11" xr:uid="{00000000-0005-0000-0000-00000B000000}"/>
    <cellStyle name="Porcentagem 6" xfId="66" xr:uid="{61287A7A-336F-4D83-AE52-00781AA37A30}"/>
    <cellStyle name="Result" xfId="12" xr:uid="{00000000-0005-0000-0000-00000C000000}"/>
    <cellStyle name="Result2" xfId="13" xr:uid="{00000000-0005-0000-0000-00000D000000}"/>
    <cellStyle name="Separador de milhares 2" xfId="50" xr:uid="{A6931E60-087F-4DC8-BB83-1C03EC56C36E}"/>
    <cellStyle name="Separador de milhares 3" xfId="51" xr:uid="{991452FA-CAC9-4AD5-BDA2-D9A65405D2DF}"/>
    <cellStyle name="Separador de milhares 3 2" xfId="52" xr:uid="{D6F579E9-74FD-4899-909A-0DFFB4B1C997}"/>
    <cellStyle name="Separador de milhares 4" xfId="53" xr:uid="{2648A860-6EEC-4DD4-B0F0-6182A771F60F}"/>
    <cellStyle name="Separador de milhares 4 2" xfId="54" xr:uid="{5F4B4AAB-0BEA-4030-9C0E-98CD75280FF5}"/>
    <cellStyle name="Separador de milhares 5" xfId="67" xr:uid="{050CE398-AA36-42A4-9471-0AA1762F9649}"/>
    <cellStyle name="Separador de milhares_ANEXO II - Planilha Estimativa de Custos" xfId="22" xr:uid="{22B7357C-28A2-44DA-930B-0F1FC6ED189E}"/>
    <cellStyle name="Texto Explicativo 2" xfId="55" xr:uid="{0D9F9A8A-64CA-4B75-B6F3-6D7B33F2519C}"/>
    <cellStyle name="Título 5" xfId="14" xr:uid="{00000000-0005-0000-0000-00000E000000}"/>
    <cellStyle name="Título 6" xfId="15" xr:uid="{00000000-0005-0000-0000-00000F000000}"/>
    <cellStyle name="Total" xfId="16" builtinId="25" customBuiltin="1"/>
    <cellStyle name="Vírgula" xfId="17" builtinId="3"/>
    <cellStyle name="Vírgula 2" xfId="56" xr:uid="{F9AAB44B-E110-4A90-9E0B-6CB7D982EF32}"/>
    <cellStyle name="Vírgula 3" xfId="57" xr:uid="{58916F00-850C-413C-A26F-A1DCEC0C184A}"/>
    <cellStyle name="Vírgula 3 2" xfId="58" xr:uid="{7C34DC3F-EA26-4B84-9C0F-7D63F41C3884}"/>
    <cellStyle name="Vírgula 4" xfId="59" xr:uid="{85075286-9A62-4231-8651-F4A52272A352}"/>
    <cellStyle name="Vírgula 4 2" xfId="60" xr:uid="{6FB69CA2-4339-4A3E-B861-620305CED82F}"/>
    <cellStyle name="Vírgula 5" xfId="61" xr:uid="{28EFAB6C-AA4B-4DE7-8986-36C095352E2B}"/>
    <cellStyle name="Vírgula 5 2" xfId="62" xr:uid="{ADCD8D75-074F-4697-9A77-4F7335919991}"/>
    <cellStyle name="Vírgula 6" xfId="63" xr:uid="{3154A458-EB7B-4647-B30E-F83A5607281E}"/>
    <cellStyle name="Vírgula 7" xfId="64" xr:uid="{0D1CDFE1-62FD-439F-8809-0D9806AD9B98}"/>
  </cellStyles>
  <dxfs count="4">
    <dxf>
      <font>
        <color auto="1"/>
      </font>
      <fill>
        <patternFill>
          <bgColor theme="5" tint="0.79998168889431442"/>
        </patternFill>
      </fill>
    </dxf>
    <dxf>
      <fill>
        <patternFill>
          <bgColor theme="9" tint="0.79998168889431442"/>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hyperlink" Target="#'Material de Consumo HIGIENE'!A1"/><Relationship Id="rId13" Type="http://schemas.openxmlformats.org/officeDocument/2006/relationships/hyperlink" Target="#'Postos COPA'!A1"/><Relationship Id="rId3" Type="http://schemas.openxmlformats.org/officeDocument/2006/relationships/hyperlink" Target="#'Postos LIMPEZA'!A1"/><Relationship Id="rId7" Type="http://schemas.openxmlformats.org/officeDocument/2006/relationships/hyperlink" Target="#'Materiais de Consumo LIMPEZA'!A1"/><Relationship Id="rId12" Type="http://schemas.openxmlformats.org/officeDocument/2006/relationships/hyperlink" Target="#'Mem&#243;ria de C&#225;lculos'!A1"/><Relationship Id="rId2" Type="http://schemas.openxmlformats.org/officeDocument/2006/relationships/hyperlink" Target="#'Dados do Licitante'!A1"/><Relationship Id="rId1" Type="http://schemas.openxmlformats.org/officeDocument/2006/relationships/hyperlink" Target="#'N&#186; Funcion&#225;rios COPA'!A1"/><Relationship Id="rId6" Type="http://schemas.openxmlformats.org/officeDocument/2006/relationships/hyperlink" Target="#Utens&#237;lios!A1"/><Relationship Id="rId11" Type="http://schemas.openxmlformats.org/officeDocument/2006/relationships/hyperlink" Target="#'Proposta Resumo'!A1"/><Relationship Id="rId5" Type="http://schemas.openxmlformats.org/officeDocument/2006/relationships/hyperlink" Target="#Equipamentos!A1"/><Relationship Id="rId10" Type="http://schemas.openxmlformats.org/officeDocument/2006/relationships/hyperlink" Target="#'Custos e Pre&#231;os LIMPEZA'!A1"/><Relationship Id="rId4" Type="http://schemas.openxmlformats.org/officeDocument/2006/relationships/hyperlink" Target="#'Uniformes e EPIs'!A1"/><Relationship Id="rId9" Type="http://schemas.openxmlformats.org/officeDocument/2006/relationships/hyperlink" Target="#'N&#186; Funcion&#225;rios LIMPEZA'!A1"/><Relationship Id="rId14" Type="http://schemas.openxmlformats.org/officeDocument/2006/relationships/hyperlink" Target="#'Custos e Pre&#231;os COPA'!A1"/></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IN&#205;CIO!A1"/></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7</xdr:col>
      <xdr:colOff>295275</xdr:colOff>
      <xdr:row>1</xdr:row>
      <xdr:rowOff>38100</xdr:rowOff>
    </xdr:from>
    <xdr:to>
      <xdr:col>10</xdr:col>
      <xdr:colOff>238125</xdr:colOff>
      <xdr:row>7</xdr:row>
      <xdr:rowOff>171450</xdr:rowOff>
    </xdr:to>
    <xdr:sp macro="" textlink="">
      <xdr:nvSpPr>
        <xdr:cNvPr id="30" name="Retângulo Arredondado 29">
          <a:hlinkClick xmlns:r="http://schemas.openxmlformats.org/officeDocument/2006/relationships" r:id="rId1"/>
          <a:extLst>
            <a:ext uri="{FF2B5EF4-FFF2-40B4-BE49-F238E27FC236}">
              <a16:creationId xmlns:a16="http://schemas.microsoft.com/office/drawing/2014/main" id="{00000000-0008-0000-0000-00001E000000}"/>
            </a:ext>
          </a:extLst>
        </xdr:cNvPr>
        <xdr:cNvSpPr/>
      </xdr:nvSpPr>
      <xdr:spPr>
        <a:xfrm>
          <a:off x="5095875" y="21907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3º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Nº DE FUNCIONÁRIOS COPA</a:t>
          </a:r>
          <a:endParaRPr lang="pt-BR" sz="1200">
            <a:solidFill>
              <a:sysClr val="windowText" lastClr="000000"/>
            </a:solidFill>
          </a:endParaRPr>
        </a:p>
      </xdr:txBody>
    </xdr:sp>
    <xdr:clientData/>
  </xdr:twoCellAnchor>
  <xdr:twoCellAnchor>
    <xdr:from>
      <xdr:col>0</xdr:col>
      <xdr:colOff>552450</xdr:colOff>
      <xdr:row>1</xdr:row>
      <xdr:rowOff>28575</xdr:rowOff>
    </xdr:from>
    <xdr:to>
      <xdr:col>3</xdr:col>
      <xdr:colOff>495300</xdr:colOff>
      <xdr:row>7</xdr:row>
      <xdr:rowOff>161925</xdr:rowOff>
    </xdr:to>
    <xdr:sp macro="" textlink="">
      <xdr:nvSpPr>
        <xdr:cNvPr id="3" name="Retângulo Arredondado 2">
          <a:hlinkClick xmlns:r="http://schemas.openxmlformats.org/officeDocument/2006/relationships" r:id="rId2"/>
          <a:extLst>
            <a:ext uri="{FF2B5EF4-FFF2-40B4-BE49-F238E27FC236}">
              <a16:creationId xmlns:a16="http://schemas.microsoft.com/office/drawing/2014/main" id="{00000000-0008-0000-0000-000003000000}"/>
            </a:ext>
          </a:extLst>
        </xdr:cNvPr>
        <xdr:cNvSpPr/>
      </xdr:nvSpPr>
      <xdr:spPr>
        <a:xfrm>
          <a:off x="552450" y="209550"/>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DADOS DO LICITANTE</a:t>
          </a:r>
          <a:endParaRPr lang="pt-BR" sz="1400">
            <a:solidFill>
              <a:sysClr val="windowText" lastClr="000000"/>
            </a:solidFill>
          </a:endParaRPr>
        </a:p>
      </xdr:txBody>
    </xdr:sp>
    <xdr:clientData/>
  </xdr:twoCellAnchor>
  <xdr:twoCellAnchor>
    <xdr:from>
      <xdr:col>7</xdr:col>
      <xdr:colOff>342900</xdr:colOff>
      <xdr:row>14</xdr:row>
      <xdr:rowOff>114300</xdr:rowOff>
    </xdr:from>
    <xdr:to>
      <xdr:col>10</xdr:col>
      <xdr:colOff>285750</xdr:colOff>
      <xdr:row>21</xdr:row>
      <xdr:rowOff>66675</xdr:rowOff>
    </xdr:to>
    <xdr:sp macro="" textlink="">
      <xdr:nvSpPr>
        <xdr:cNvPr id="12" name="Retângulo Arredondado 11">
          <a:hlinkClick xmlns:r="http://schemas.openxmlformats.org/officeDocument/2006/relationships" r:id="rId3"/>
          <a:extLst>
            <a:ext uri="{FF2B5EF4-FFF2-40B4-BE49-F238E27FC236}">
              <a16:creationId xmlns:a16="http://schemas.microsoft.com/office/drawing/2014/main" id="{00000000-0008-0000-0000-00000C000000}"/>
            </a:ext>
          </a:extLst>
        </xdr:cNvPr>
        <xdr:cNvSpPr/>
      </xdr:nvSpPr>
      <xdr:spPr>
        <a:xfrm>
          <a:off x="5143500" y="2647950"/>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9º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POSTOS LIMPEZA</a:t>
          </a:r>
          <a:endParaRPr lang="pt-BR" sz="1400">
            <a:solidFill>
              <a:sysClr val="windowText" lastClr="000000"/>
            </a:solidFill>
          </a:endParaRPr>
        </a:p>
      </xdr:txBody>
    </xdr:sp>
    <xdr:clientData/>
  </xdr:twoCellAnchor>
  <xdr:twoCellAnchor>
    <xdr:from>
      <xdr:col>10</xdr:col>
      <xdr:colOff>609600</xdr:colOff>
      <xdr:row>1</xdr:row>
      <xdr:rowOff>28575</xdr:rowOff>
    </xdr:from>
    <xdr:to>
      <xdr:col>13</xdr:col>
      <xdr:colOff>552450</xdr:colOff>
      <xdr:row>7</xdr:row>
      <xdr:rowOff>161925</xdr:rowOff>
    </xdr:to>
    <xdr:sp macro="" textlink="">
      <xdr:nvSpPr>
        <xdr:cNvPr id="13" name="Retângulo Arredondado 12">
          <a:hlinkClick xmlns:r="http://schemas.openxmlformats.org/officeDocument/2006/relationships" r:id="rId4"/>
          <a:extLst>
            <a:ext uri="{FF2B5EF4-FFF2-40B4-BE49-F238E27FC236}">
              <a16:creationId xmlns:a16="http://schemas.microsoft.com/office/drawing/2014/main" id="{00000000-0008-0000-0000-00000D000000}"/>
            </a:ext>
          </a:extLst>
        </xdr:cNvPr>
        <xdr:cNvSpPr/>
      </xdr:nvSpPr>
      <xdr:spPr>
        <a:xfrm>
          <a:off x="7467600" y="209550"/>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4º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UNIFORMESe EPIs</a:t>
          </a:r>
          <a:endParaRPr lang="pt-BR" sz="1400">
            <a:solidFill>
              <a:sysClr val="windowText" lastClr="000000"/>
            </a:solidFill>
          </a:endParaRPr>
        </a:p>
      </xdr:txBody>
    </xdr:sp>
    <xdr:clientData/>
  </xdr:twoCellAnchor>
  <xdr:twoCellAnchor>
    <xdr:from>
      <xdr:col>14</xdr:col>
      <xdr:colOff>133350</xdr:colOff>
      <xdr:row>1</xdr:row>
      <xdr:rowOff>28575</xdr:rowOff>
    </xdr:from>
    <xdr:to>
      <xdr:col>17</xdr:col>
      <xdr:colOff>76200</xdr:colOff>
      <xdr:row>7</xdr:row>
      <xdr:rowOff>161925</xdr:rowOff>
    </xdr:to>
    <xdr:sp macro="" textlink="">
      <xdr:nvSpPr>
        <xdr:cNvPr id="14" name="Retângulo Arredondado 13">
          <a:hlinkClick xmlns:r="http://schemas.openxmlformats.org/officeDocument/2006/relationships" r:id="rId5"/>
          <a:extLst>
            <a:ext uri="{FF2B5EF4-FFF2-40B4-BE49-F238E27FC236}">
              <a16:creationId xmlns:a16="http://schemas.microsoft.com/office/drawing/2014/main" id="{00000000-0008-0000-0000-00000E000000}"/>
            </a:ext>
          </a:extLst>
        </xdr:cNvPr>
        <xdr:cNvSpPr/>
      </xdr:nvSpPr>
      <xdr:spPr>
        <a:xfrm>
          <a:off x="9734550" y="209550"/>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5º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EQUIPAMENTOS</a:t>
          </a:r>
          <a:endParaRPr lang="pt-BR" sz="1400">
            <a:solidFill>
              <a:sysClr val="windowText" lastClr="000000"/>
            </a:solidFill>
          </a:endParaRPr>
        </a:p>
      </xdr:txBody>
    </xdr:sp>
    <xdr:clientData/>
  </xdr:twoCellAnchor>
  <xdr:twoCellAnchor>
    <xdr:from>
      <xdr:col>17</xdr:col>
      <xdr:colOff>314325</xdr:colOff>
      <xdr:row>1</xdr:row>
      <xdr:rowOff>38100</xdr:rowOff>
    </xdr:from>
    <xdr:to>
      <xdr:col>20</xdr:col>
      <xdr:colOff>257175</xdr:colOff>
      <xdr:row>7</xdr:row>
      <xdr:rowOff>171450</xdr:rowOff>
    </xdr:to>
    <xdr:sp macro="" textlink="">
      <xdr:nvSpPr>
        <xdr:cNvPr id="15" name="Retângulo Arredondado 14">
          <a:hlinkClick xmlns:r="http://schemas.openxmlformats.org/officeDocument/2006/relationships" r:id="rId6"/>
          <a:extLst>
            <a:ext uri="{FF2B5EF4-FFF2-40B4-BE49-F238E27FC236}">
              <a16:creationId xmlns:a16="http://schemas.microsoft.com/office/drawing/2014/main" id="{00000000-0008-0000-0000-00000F000000}"/>
            </a:ext>
          </a:extLst>
        </xdr:cNvPr>
        <xdr:cNvSpPr/>
      </xdr:nvSpPr>
      <xdr:spPr>
        <a:xfrm>
          <a:off x="11972925" y="219075"/>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6º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UTENSÍLIOS</a:t>
          </a:r>
          <a:endParaRPr lang="pt-BR" sz="1400">
            <a:solidFill>
              <a:sysClr val="windowText" lastClr="000000"/>
            </a:solidFill>
          </a:endParaRPr>
        </a:p>
      </xdr:txBody>
    </xdr:sp>
    <xdr:clientData/>
  </xdr:twoCellAnchor>
  <xdr:twoCellAnchor>
    <xdr:from>
      <xdr:col>0</xdr:col>
      <xdr:colOff>523875</xdr:colOff>
      <xdr:row>14</xdr:row>
      <xdr:rowOff>114300</xdr:rowOff>
    </xdr:from>
    <xdr:to>
      <xdr:col>3</xdr:col>
      <xdr:colOff>466725</xdr:colOff>
      <xdr:row>21</xdr:row>
      <xdr:rowOff>66675</xdr:rowOff>
    </xdr:to>
    <xdr:sp macro="" textlink="">
      <xdr:nvSpPr>
        <xdr:cNvPr id="16" name="Retângulo Arredondado 15">
          <a:hlinkClick xmlns:r="http://schemas.openxmlformats.org/officeDocument/2006/relationships" r:id="rId7"/>
          <a:extLst>
            <a:ext uri="{FF2B5EF4-FFF2-40B4-BE49-F238E27FC236}">
              <a16:creationId xmlns:a16="http://schemas.microsoft.com/office/drawing/2014/main" id="{00000000-0008-0000-0000-000010000000}"/>
            </a:ext>
          </a:extLst>
        </xdr:cNvPr>
        <xdr:cNvSpPr/>
      </xdr:nvSpPr>
      <xdr:spPr>
        <a:xfrm>
          <a:off x="523875" y="2647950"/>
          <a:ext cx="2000250" cy="1219200"/>
        </a:xfrm>
        <a:prstGeom prst="roundRect">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7º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MATERIAIS DE CONSUMO DE LIMPEZA</a:t>
          </a:r>
          <a:endParaRPr lang="pt-BR" sz="1200">
            <a:solidFill>
              <a:sysClr val="windowText" lastClr="000000"/>
            </a:solidFill>
          </a:endParaRPr>
        </a:p>
      </xdr:txBody>
    </xdr:sp>
    <xdr:clientData/>
  </xdr:twoCellAnchor>
  <xdr:twoCellAnchor>
    <xdr:from>
      <xdr:col>4</xdr:col>
      <xdr:colOff>66675</xdr:colOff>
      <xdr:row>14</xdr:row>
      <xdr:rowOff>123825</xdr:rowOff>
    </xdr:from>
    <xdr:to>
      <xdr:col>7</xdr:col>
      <xdr:colOff>9525</xdr:colOff>
      <xdr:row>21</xdr:row>
      <xdr:rowOff>76200</xdr:rowOff>
    </xdr:to>
    <xdr:sp macro="" textlink="">
      <xdr:nvSpPr>
        <xdr:cNvPr id="17" name="Retângulo Arredondado 16">
          <a:hlinkClick xmlns:r="http://schemas.openxmlformats.org/officeDocument/2006/relationships" r:id="rId8"/>
          <a:extLst>
            <a:ext uri="{FF2B5EF4-FFF2-40B4-BE49-F238E27FC236}">
              <a16:creationId xmlns:a16="http://schemas.microsoft.com/office/drawing/2014/main" id="{00000000-0008-0000-0000-000011000000}"/>
            </a:ext>
          </a:extLst>
        </xdr:cNvPr>
        <xdr:cNvSpPr/>
      </xdr:nvSpPr>
      <xdr:spPr>
        <a:xfrm>
          <a:off x="2809875" y="2657475"/>
          <a:ext cx="2000250" cy="1219200"/>
        </a:xfrm>
        <a:prstGeom prst="roundRect">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8º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MATERIAIS DE CONSUMO DE HIGIENE</a:t>
          </a:r>
          <a:endParaRPr lang="pt-BR" sz="1200">
            <a:solidFill>
              <a:sysClr val="windowText" lastClr="000000"/>
            </a:solidFill>
          </a:endParaRPr>
        </a:p>
      </xdr:txBody>
    </xdr:sp>
    <xdr:clientData/>
  </xdr:twoCellAnchor>
  <xdr:twoCellAnchor>
    <xdr:from>
      <xdr:col>4</xdr:col>
      <xdr:colOff>66675</xdr:colOff>
      <xdr:row>1</xdr:row>
      <xdr:rowOff>57150</xdr:rowOff>
    </xdr:from>
    <xdr:to>
      <xdr:col>7</xdr:col>
      <xdr:colOff>9525</xdr:colOff>
      <xdr:row>8</xdr:row>
      <xdr:rowOff>9525</xdr:rowOff>
    </xdr:to>
    <xdr:sp macro="" textlink="">
      <xdr:nvSpPr>
        <xdr:cNvPr id="21" name="Retângulo Arredondado 20">
          <a:hlinkClick xmlns:r="http://schemas.openxmlformats.org/officeDocument/2006/relationships" r:id="rId9"/>
          <a:extLst>
            <a:ext uri="{FF2B5EF4-FFF2-40B4-BE49-F238E27FC236}">
              <a16:creationId xmlns:a16="http://schemas.microsoft.com/office/drawing/2014/main" id="{00000000-0008-0000-0000-000015000000}"/>
            </a:ext>
          </a:extLst>
        </xdr:cNvPr>
        <xdr:cNvSpPr/>
      </xdr:nvSpPr>
      <xdr:spPr>
        <a:xfrm>
          <a:off x="2809875" y="23812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2º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Nº DE FUNCIONÁRIOS LIMPEZA</a:t>
          </a:r>
          <a:endParaRPr lang="pt-BR" sz="1200">
            <a:solidFill>
              <a:sysClr val="windowText" lastClr="000000"/>
            </a:solidFill>
          </a:endParaRPr>
        </a:p>
      </xdr:txBody>
    </xdr:sp>
    <xdr:clientData/>
  </xdr:twoCellAnchor>
  <xdr:twoCellAnchor>
    <xdr:from>
      <xdr:col>3</xdr:col>
      <xdr:colOff>209550</xdr:colOff>
      <xdr:row>2</xdr:row>
      <xdr:rowOff>9525</xdr:rowOff>
    </xdr:from>
    <xdr:to>
      <xdr:col>4</xdr:col>
      <xdr:colOff>219075</xdr:colOff>
      <xdr:row>4</xdr:row>
      <xdr:rowOff>161925</xdr:rowOff>
    </xdr:to>
    <xdr:sp macro="" textlink="">
      <xdr:nvSpPr>
        <xdr:cNvPr id="22" name="Seta para a Direita 21">
          <a:extLst>
            <a:ext uri="{FF2B5EF4-FFF2-40B4-BE49-F238E27FC236}">
              <a16:creationId xmlns:a16="http://schemas.microsoft.com/office/drawing/2014/main" id="{00000000-0008-0000-0000-000016000000}"/>
            </a:ext>
          </a:extLst>
        </xdr:cNvPr>
        <xdr:cNvSpPr/>
      </xdr:nvSpPr>
      <xdr:spPr>
        <a:xfrm>
          <a:off x="2266950" y="3714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6</xdr:col>
      <xdr:colOff>400050</xdr:colOff>
      <xdr:row>2</xdr:row>
      <xdr:rowOff>38100</xdr:rowOff>
    </xdr:from>
    <xdr:to>
      <xdr:col>7</xdr:col>
      <xdr:colOff>409575</xdr:colOff>
      <xdr:row>5</xdr:row>
      <xdr:rowOff>9525</xdr:rowOff>
    </xdr:to>
    <xdr:sp macro="" textlink="">
      <xdr:nvSpPr>
        <xdr:cNvPr id="23" name="Seta para a Direita 22">
          <a:extLst>
            <a:ext uri="{FF2B5EF4-FFF2-40B4-BE49-F238E27FC236}">
              <a16:creationId xmlns:a16="http://schemas.microsoft.com/office/drawing/2014/main" id="{00000000-0008-0000-0000-000017000000}"/>
            </a:ext>
          </a:extLst>
        </xdr:cNvPr>
        <xdr:cNvSpPr/>
      </xdr:nvSpPr>
      <xdr:spPr>
        <a:xfrm>
          <a:off x="4514850" y="4000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13</xdr:col>
      <xdr:colOff>266700</xdr:colOff>
      <xdr:row>2</xdr:row>
      <xdr:rowOff>0</xdr:rowOff>
    </xdr:from>
    <xdr:to>
      <xdr:col>14</xdr:col>
      <xdr:colOff>276225</xdr:colOff>
      <xdr:row>4</xdr:row>
      <xdr:rowOff>152400</xdr:rowOff>
    </xdr:to>
    <xdr:sp macro="" textlink="">
      <xdr:nvSpPr>
        <xdr:cNvPr id="24" name="Seta para a Direita 23">
          <a:extLst>
            <a:ext uri="{FF2B5EF4-FFF2-40B4-BE49-F238E27FC236}">
              <a16:creationId xmlns:a16="http://schemas.microsoft.com/office/drawing/2014/main" id="{00000000-0008-0000-0000-000018000000}"/>
            </a:ext>
          </a:extLst>
        </xdr:cNvPr>
        <xdr:cNvSpPr/>
      </xdr:nvSpPr>
      <xdr:spPr>
        <a:xfrm>
          <a:off x="9182100" y="3619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16</xdr:col>
      <xdr:colOff>457200</xdr:colOff>
      <xdr:row>2</xdr:row>
      <xdr:rowOff>9525</xdr:rowOff>
    </xdr:from>
    <xdr:to>
      <xdr:col>17</xdr:col>
      <xdr:colOff>466725</xdr:colOff>
      <xdr:row>4</xdr:row>
      <xdr:rowOff>161925</xdr:rowOff>
    </xdr:to>
    <xdr:sp macro="" textlink="">
      <xdr:nvSpPr>
        <xdr:cNvPr id="25" name="Seta para a Direita 24">
          <a:extLst>
            <a:ext uri="{FF2B5EF4-FFF2-40B4-BE49-F238E27FC236}">
              <a16:creationId xmlns:a16="http://schemas.microsoft.com/office/drawing/2014/main" id="{00000000-0008-0000-0000-000019000000}"/>
            </a:ext>
          </a:extLst>
        </xdr:cNvPr>
        <xdr:cNvSpPr/>
      </xdr:nvSpPr>
      <xdr:spPr>
        <a:xfrm>
          <a:off x="11430000" y="3714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3</xdr:col>
      <xdr:colOff>190500</xdr:colOff>
      <xdr:row>15</xdr:row>
      <xdr:rowOff>66675</xdr:rowOff>
    </xdr:from>
    <xdr:to>
      <xdr:col>4</xdr:col>
      <xdr:colOff>200025</xdr:colOff>
      <xdr:row>18</xdr:row>
      <xdr:rowOff>38100</xdr:rowOff>
    </xdr:to>
    <xdr:sp macro="" textlink="">
      <xdr:nvSpPr>
        <xdr:cNvPr id="26" name="Seta para a Direita 25">
          <a:extLst>
            <a:ext uri="{FF2B5EF4-FFF2-40B4-BE49-F238E27FC236}">
              <a16:creationId xmlns:a16="http://schemas.microsoft.com/office/drawing/2014/main" id="{00000000-0008-0000-0000-00001A000000}"/>
            </a:ext>
          </a:extLst>
        </xdr:cNvPr>
        <xdr:cNvSpPr/>
      </xdr:nvSpPr>
      <xdr:spPr>
        <a:xfrm>
          <a:off x="2247900" y="27813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15664</xdr:colOff>
      <xdr:row>6</xdr:row>
      <xdr:rowOff>114444</xdr:rowOff>
    </xdr:from>
    <xdr:to>
      <xdr:col>19</xdr:col>
      <xdr:colOff>85300</xdr:colOff>
      <xdr:row>15</xdr:row>
      <xdr:rowOff>83106</xdr:rowOff>
    </xdr:to>
    <xdr:grpSp>
      <xdr:nvGrpSpPr>
        <xdr:cNvPr id="2" name="Agrupar 1">
          <a:extLst>
            <a:ext uri="{FF2B5EF4-FFF2-40B4-BE49-F238E27FC236}">
              <a16:creationId xmlns:a16="http://schemas.microsoft.com/office/drawing/2014/main" id="{00000000-0008-0000-0000-000002000000}"/>
            </a:ext>
          </a:extLst>
        </xdr:cNvPr>
        <xdr:cNvGrpSpPr/>
      </xdr:nvGrpSpPr>
      <xdr:grpSpPr>
        <a:xfrm>
          <a:off x="1387264" y="1200294"/>
          <a:ext cx="11728236" cy="1597437"/>
          <a:chOff x="1387264" y="1200294"/>
          <a:chExt cx="11728236" cy="1597437"/>
        </a:xfrm>
      </xdr:grpSpPr>
      <xdr:sp macro="" textlink="">
        <xdr:nvSpPr>
          <xdr:cNvPr id="28" name="Seta Dobrada 27">
            <a:extLst>
              <a:ext uri="{FF2B5EF4-FFF2-40B4-BE49-F238E27FC236}">
                <a16:creationId xmlns:a16="http://schemas.microsoft.com/office/drawing/2014/main" id="{00000000-0008-0000-0000-00001C000000}"/>
              </a:ext>
            </a:extLst>
          </xdr:cNvPr>
          <xdr:cNvSpPr/>
        </xdr:nvSpPr>
        <xdr:spPr>
          <a:xfrm rot="5400000" flipV="1">
            <a:off x="1230511" y="1989972"/>
            <a:ext cx="964512" cy="651005"/>
          </a:xfrm>
          <a:prstGeom prst="bentArrow">
            <a:avLst>
              <a:gd name="adj1" fmla="val 36517"/>
              <a:gd name="adj2" fmla="val 40469"/>
              <a:gd name="adj3" fmla="val 45980"/>
              <a:gd name="adj4" fmla="val 43750"/>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sp macro="" textlink="">
        <xdr:nvSpPr>
          <xdr:cNvPr id="29" name="Retângulo 28">
            <a:extLst>
              <a:ext uri="{FF2B5EF4-FFF2-40B4-BE49-F238E27FC236}">
                <a16:creationId xmlns:a16="http://schemas.microsoft.com/office/drawing/2014/main" id="{00000000-0008-0000-0000-00001D000000}"/>
              </a:ext>
            </a:extLst>
          </xdr:cNvPr>
          <xdr:cNvSpPr/>
        </xdr:nvSpPr>
        <xdr:spPr>
          <a:xfrm>
            <a:off x="2040548" y="1829795"/>
            <a:ext cx="11027752" cy="246655"/>
          </a:xfrm>
          <a:prstGeom prst="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sp macro="" textlink="">
        <xdr:nvSpPr>
          <xdr:cNvPr id="31" name="Retângulo Arredondado 30">
            <a:extLst>
              <a:ext uri="{FF2B5EF4-FFF2-40B4-BE49-F238E27FC236}">
                <a16:creationId xmlns:a16="http://schemas.microsoft.com/office/drawing/2014/main" id="{00000000-0008-0000-0000-00001F000000}"/>
              </a:ext>
            </a:extLst>
          </xdr:cNvPr>
          <xdr:cNvSpPr/>
        </xdr:nvSpPr>
        <xdr:spPr>
          <a:xfrm>
            <a:off x="12828293" y="1200294"/>
            <a:ext cx="287207" cy="876156"/>
          </a:xfrm>
          <a:prstGeom prst="round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grpSp>
    <xdr:clientData/>
  </xdr:twoCellAnchor>
  <xdr:twoCellAnchor>
    <xdr:from>
      <xdr:col>0</xdr:col>
      <xdr:colOff>552450</xdr:colOff>
      <xdr:row>28</xdr:row>
      <xdr:rowOff>0</xdr:rowOff>
    </xdr:from>
    <xdr:to>
      <xdr:col>3</xdr:col>
      <xdr:colOff>495300</xdr:colOff>
      <xdr:row>34</xdr:row>
      <xdr:rowOff>133350</xdr:rowOff>
    </xdr:to>
    <xdr:sp macro="" textlink="">
      <xdr:nvSpPr>
        <xdr:cNvPr id="34" name="Retângulo Arredondado 33">
          <a:hlinkClick xmlns:r="http://schemas.openxmlformats.org/officeDocument/2006/relationships" r:id="rId10"/>
          <a:extLst>
            <a:ext uri="{FF2B5EF4-FFF2-40B4-BE49-F238E27FC236}">
              <a16:creationId xmlns:a16="http://schemas.microsoft.com/office/drawing/2014/main" id="{00000000-0008-0000-0000-000022000000}"/>
            </a:ext>
          </a:extLst>
        </xdr:cNvPr>
        <xdr:cNvSpPr/>
      </xdr:nvSpPr>
      <xdr:spPr>
        <a:xfrm>
          <a:off x="552450" y="5067300"/>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11º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CUSTOS e PREÇOS LIMPEZA</a:t>
          </a:r>
          <a:endParaRPr lang="pt-BR" sz="1200">
            <a:solidFill>
              <a:sysClr val="windowText" lastClr="000000"/>
            </a:solidFill>
          </a:endParaRPr>
        </a:p>
      </xdr:txBody>
    </xdr:sp>
    <xdr:clientData/>
  </xdr:twoCellAnchor>
  <xdr:twoCellAnchor>
    <xdr:from>
      <xdr:col>7</xdr:col>
      <xdr:colOff>590550</xdr:colOff>
      <xdr:row>28</xdr:row>
      <xdr:rowOff>28575</xdr:rowOff>
    </xdr:from>
    <xdr:to>
      <xdr:col>10</xdr:col>
      <xdr:colOff>533400</xdr:colOff>
      <xdr:row>34</xdr:row>
      <xdr:rowOff>161925</xdr:rowOff>
    </xdr:to>
    <xdr:sp macro="" textlink="">
      <xdr:nvSpPr>
        <xdr:cNvPr id="35" name="Retângulo Arredondado 34">
          <a:hlinkClick xmlns:r="http://schemas.openxmlformats.org/officeDocument/2006/relationships" r:id="rId11"/>
          <a:extLst>
            <a:ext uri="{FF2B5EF4-FFF2-40B4-BE49-F238E27FC236}">
              <a16:creationId xmlns:a16="http://schemas.microsoft.com/office/drawing/2014/main" id="{00000000-0008-0000-0000-000023000000}"/>
            </a:ext>
          </a:extLst>
        </xdr:cNvPr>
        <xdr:cNvSpPr/>
      </xdr:nvSpPr>
      <xdr:spPr>
        <a:xfrm>
          <a:off x="5391150" y="509587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13º Passo</a:t>
          </a:r>
        </a:p>
        <a:p>
          <a:pPr algn="ctr"/>
          <a:r>
            <a:rPr lang="pt-BR" sz="1400" baseline="0">
              <a:solidFill>
                <a:sysClr val="windowText" lastClr="000000"/>
              </a:solidFill>
            </a:rPr>
            <a:t>Confirmar valores na aba:</a:t>
          </a:r>
          <a:br>
            <a:rPr lang="pt-BR" sz="1400" baseline="0">
              <a:solidFill>
                <a:sysClr val="windowText" lastClr="000000"/>
              </a:solidFill>
            </a:rPr>
          </a:br>
          <a:r>
            <a:rPr lang="pt-BR" sz="1200" baseline="0">
              <a:solidFill>
                <a:sysClr val="windowText" lastClr="000000"/>
              </a:solidFill>
            </a:rPr>
            <a:t>PROPOSTA RESUMO</a:t>
          </a:r>
          <a:endParaRPr lang="pt-BR" sz="1200">
            <a:solidFill>
              <a:sysClr val="windowText" lastClr="000000"/>
            </a:solidFill>
          </a:endParaRPr>
        </a:p>
      </xdr:txBody>
    </xdr:sp>
    <xdr:clientData/>
  </xdr:twoCellAnchor>
  <xdr:twoCellAnchor>
    <xdr:from>
      <xdr:col>17</xdr:col>
      <xdr:colOff>247650</xdr:colOff>
      <xdr:row>14</xdr:row>
      <xdr:rowOff>142875</xdr:rowOff>
    </xdr:from>
    <xdr:to>
      <xdr:col>20</xdr:col>
      <xdr:colOff>190500</xdr:colOff>
      <xdr:row>21</xdr:row>
      <xdr:rowOff>95250</xdr:rowOff>
    </xdr:to>
    <xdr:sp macro="" textlink="">
      <xdr:nvSpPr>
        <xdr:cNvPr id="38" name="Retângulo Arredondado 37">
          <a:hlinkClick xmlns:r="http://schemas.openxmlformats.org/officeDocument/2006/relationships" r:id="rId12"/>
          <a:extLst>
            <a:ext uri="{FF2B5EF4-FFF2-40B4-BE49-F238E27FC236}">
              <a16:creationId xmlns:a16="http://schemas.microsoft.com/office/drawing/2014/main" id="{00000000-0008-0000-0000-000026000000}"/>
            </a:ext>
          </a:extLst>
        </xdr:cNvPr>
        <xdr:cNvSpPr/>
      </xdr:nvSpPr>
      <xdr:spPr>
        <a:xfrm>
          <a:off x="11906250" y="2676525"/>
          <a:ext cx="2000250" cy="1219200"/>
        </a:xfrm>
        <a:prstGeom prst="round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t>A qualquer momento</a:t>
          </a:r>
        </a:p>
        <a:p>
          <a:pPr algn="ctr"/>
          <a:r>
            <a:rPr lang="pt-BR" sz="1400" baseline="0"/>
            <a:t>Analisar a aba:</a:t>
          </a:r>
          <a:br>
            <a:rPr lang="pt-BR" sz="1400" baseline="0"/>
          </a:br>
          <a:r>
            <a:rPr lang="pt-BR" sz="1200" baseline="0"/>
            <a:t>MEMÓRIA DE CÁLCULOS</a:t>
          </a:r>
          <a:endParaRPr lang="pt-BR" sz="1200"/>
        </a:p>
      </xdr:txBody>
    </xdr:sp>
    <xdr:clientData/>
  </xdr:twoCellAnchor>
  <xdr:twoCellAnchor>
    <xdr:from>
      <xdr:col>10</xdr:col>
      <xdr:colOff>95250</xdr:colOff>
      <xdr:row>2</xdr:row>
      <xdr:rowOff>19050</xdr:rowOff>
    </xdr:from>
    <xdr:to>
      <xdr:col>11</xdr:col>
      <xdr:colOff>104775</xdr:colOff>
      <xdr:row>4</xdr:row>
      <xdr:rowOff>171450</xdr:rowOff>
    </xdr:to>
    <xdr:sp macro="" textlink="">
      <xdr:nvSpPr>
        <xdr:cNvPr id="33" name="Seta para a Direita 32">
          <a:extLst>
            <a:ext uri="{FF2B5EF4-FFF2-40B4-BE49-F238E27FC236}">
              <a16:creationId xmlns:a16="http://schemas.microsoft.com/office/drawing/2014/main" id="{00000000-0008-0000-0000-000021000000}"/>
            </a:ext>
          </a:extLst>
        </xdr:cNvPr>
        <xdr:cNvSpPr/>
      </xdr:nvSpPr>
      <xdr:spPr>
        <a:xfrm>
          <a:off x="6953250" y="3810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6</xdr:col>
      <xdr:colOff>438150</xdr:colOff>
      <xdr:row>15</xdr:row>
      <xdr:rowOff>66675</xdr:rowOff>
    </xdr:from>
    <xdr:to>
      <xdr:col>7</xdr:col>
      <xdr:colOff>447675</xdr:colOff>
      <xdr:row>18</xdr:row>
      <xdr:rowOff>38100</xdr:rowOff>
    </xdr:to>
    <xdr:sp macro="" textlink="">
      <xdr:nvSpPr>
        <xdr:cNvPr id="27" name="Seta para a Direita 26">
          <a:extLst>
            <a:ext uri="{FF2B5EF4-FFF2-40B4-BE49-F238E27FC236}">
              <a16:creationId xmlns:a16="http://schemas.microsoft.com/office/drawing/2014/main" id="{00000000-0008-0000-0000-00001B000000}"/>
            </a:ext>
          </a:extLst>
        </xdr:cNvPr>
        <xdr:cNvSpPr/>
      </xdr:nvSpPr>
      <xdr:spPr>
        <a:xfrm>
          <a:off x="4552950" y="27813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10</xdr:col>
      <xdr:colOff>628650</xdr:colOff>
      <xdr:row>14</xdr:row>
      <xdr:rowOff>142875</xdr:rowOff>
    </xdr:from>
    <xdr:to>
      <xdr:col>13</xdr:col>
      <xdr:colOff>571500</xdr:colOff>
      <xdr:row>21</xdr:row>
      <xdr:rowOff>95250</xdr:rowOff>
    </xdr:to>
    <xdr:sp macro="" textlink="">
      <xdr:nvSpPr>
        <xdr:cNvPr id="49" name="Retângulo Arredondado 48">
          <a:hlinkClick xmlns:r="http://schemas.openxmlformats.org/officeDocument/2006/relationships" r:id="rId13"/>
          <a:extLst>
            <a:ext uri="{FF2B5EF4-FFF2-40B4-BE49-F238E27FC236}">
              <a16:creationId xmlns:a16="http://schemas.microsoft.com/office/drawing/2014/main" id="{00000000-0008-0000-0000-000031000000}"/>
            </a:ext>
          </a:extLst>
        </xdr:cNvPr>
        <xdr:cNvSpPr/>
      </xdr:nvSpPr>
      <xdr:spPr>
        <a:xfrm>
          <a:off x="7486650" y="2676525"/>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10º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POSTOS COPA</a:t>
          </a:r>
          <a:endParaRPr lang="pt-BR" sz="1400">
            <a:solidFill>
              <a:sysClr val="windowText" lastClr="000000"/>
            </a:solidFill>
          </a:endParaRPr>
        </a:p>
      </xdr:txBody>
    </xdr:sp>
    <xdr:clientData/>
  </xdr:twoCellAnchor>
  <xdr:twoCellAnchor>
    <xdr:from>
      <xdr:col>4</xdr:col>
      <xdr:colOff>228600</xdr:colOff>
      <xdr:row>28</xdr:row>
      <xdr:rowOff>0</xdr:rowOff>
    </xdr:from>
    <xdr:to>
      <xdr:col>7</xdr:col>
      <xdr:colOff>171450</xdr:colOff>
      <xdr:row>34</xdr:row>
      <xdr:rowOff>133350</xdr:rowOff>
    </xdr:to>
    <xdr:sp macro="" textlink="">
      <xdr:nvSpPr>
        <xdr:cNvPr id="50" name="Retângulo Arredondado 49">
          <a:hlinkClick xmlns:r="http://schemas.openxmlformats.org/officeDocument/2006/relationships" r:id="rId14"/>
          <a:extLst>
            <a:ext uri="{FF2B5EF4-FFF2-40B4-BE49-F238E27FC236}">
              <a16:creationId xmlns:a16="http://schemas.microsoft.com/office/drawing/2014/main" id="{00000000-0008-0000-0000-000032000000}"/>
            </a:ext>
          </a:extLst>
        </xdr:cNvPr>
        <xdr:cNvSpPr/>
      </xdr:nvSpPr>
      <xdr:spPr>
        <a:xfrm>
          <a:off x="2971800" y="5067300"/>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12º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CUSTOS e PREÇOS</a:t>
          </a:r>
        </a:p>
        <a:p>
          <a:pPr algn="ctr"/>
          <a:r>
            <a:rPr lang="pt-BR" sz="1200" baseline="0">
              <a:solidFill>
                <a:sysClr val="windowText" lastClr="000000"/>
              </a:solidFill>
            </a:rPr>
            <a:t>COPA</a:t>
          </a:r>
          <a:endParaRPr lang="pt-BR" sz="1200">
            <a:solidFill>
              <a:sysClr val="windowText" lastClr="000000"/>
            </a:solidFill>
          </a:endParaRPr>
        </a:p>
      </xdr:txBody>
    </xdr:sp>
    <xdr:clientData/>
  </xdr:twoCellAnchor>
  <xdr:twoCellAnchor>
    <xdr:from>
      <xdr:col>3</xdr:col>
      <xdr:colOff>304800</xdr:colOff>
      <xdr:row>28</xdr:row>
      <xdr:rowOff>123825</xdr:rowOff>
    </xdr:from>
    <xdr:to>
      <xdr:col>4</xdr:col>
      <xdr:colOff>314325</xdr:colOff>
      <xdr:row>31</xdr:row>
      <xdr:rowOff>95250</xdr:rowOff>
    </xdr:to>
    <xdr:sp macro="" textlink="">
      <xdr:nvSpPr>
        <xdr:cNvPr id="52" name="Seta para a Direita 51">
          <a:extLst>
            <a:ext uri="{FF2B5EF4-FFF2-40B4-BE49-F238E27FC236}">
              <a16:creationId xmlns:a16="http://schemas.microsoft.com/office/drawing/2014/main" id="{00000000-0008-0000-0000-000034000000}"/>
            </a:ext>
          </a:extLst>
        </xdr:cNvPr>
        <xdr:cNvSpPr/>
      </xdr:nvSpPr>
      <xdr:spPr>
        <a:xfrm>
          <a:off x="2362200" y="519112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7</xdr:col>
      <xdr:colOff>57150</xdr:colOff>
      <xdr:row>28</xdr:row>
      <xdr:rowOff>104775</xdr:rowOff>
    </xdr:from>
    <xdr:to>
      <xdr:col>8</xdr:col>
      <xdr:colOff>66675</xdr:colOff>
      <xdr:row>31</xdr:row>
      <xdr:rowOff>76200</xdr:rowOff>
    </xdr:to>
    <xdr:sp macro="" textlink="">
      <xdr:nvSpPr>
        <xdr:cNvPr id="37" name="Seta para a Direita 36">
          <a:extLst>
            <a:ext uri="{FF2B5EF4-FFF2-40B4-BE49-F238E27FC236}">
              <a16:creationId xmlns:a16="http://schemas.microsoft.com/office/drawing/2014/main" id="{00000000-0008-0000-0000-000025000000}"/>
            </a:ext>
          </a:extLst>
        </xdr:cNvPr>
        <xdr:cNvSpPr/>
      </xdr:nvSpPr>
      <xdr:spPr>
        <a:xfrm>
          <a:off x="4857750" y="51720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542578</xdr:colOff>
      <xdr:row>20</xdr:row>
      <xdr:rowOff>69359</xdr:rowOff>
    </xdr:from>
    <xdr:to>
      <xdr:col>12</xdr:col>
      <xdr:colOff>525553</xdr:colOff>
      <xdr:row>28</xdr:row>
      <xdr:rowOff>45381</xdr:rowOff>
    </xdr:to>
    <xdr:grpSp>
      <xdr:nvGrpSpPr>
        <xdr:cNvPr id="5" name="Agrupar 4">
          <a:extLst>
            <a:ext uri="{FF2B5EF4-FFF2-40B4-BE49-F238E27FC236}">
              <a16:creationId xmlns:a16="http://schemas.microsoft.com/office/drawing/2014/main" id="{00000000-0008-0000-0000-000005000000}"/>
            </a:ext>
          </a:extLst>
        </xdr:cNvPr>
        <xdr:cNvGrpSpPr/>
      </xdr:nvGrpSpPr>
      <xdr:grpSpPr>
        <a:xfrm>
          <a:off x="1228378" y="3688859"/>
          <a:ext cx="7526775" cy="1423822"/>
          <a:chOff x="1228378" y="3688860"/>
          <a:chExt cx="7479150" cy="1423821"/>
        </a:xfrm>
      </xdr:grpSpPr>
      <xdr:sp macro="" textlink="">
        <xdr:nvSpPr>
          <xdr:cNvPr id="46" name="Seta Dobrada 45">
            <a:extLst>
              <a:ext uri="{FF2B5EF4-FFF2-40B4-BE49-F238E27FC236}">
                <a16:creationId xmlns:a16="http://schemas.microsoft.com/office/drawing/2014/main" id="{00000000-0008-0000-0000-00002E000000}"/>
              </a:ext>
            </a:extLst>
          </xdr:cNvPr>
          <xdr:cNvSpPr/>
        </xdr:nvSpPr>
        <xdr:spPr>
          <a:xfrm rot="5400000" flipV="1">
            <a:off x="1162480" y="4326657"/>
            <a:ext cx="851922" cy="720126"/>
          </a:xfrm>
          <a:prstGeom prst="bentArrow">
            <a:avLst>
              <a:gd name="adj1" fmla="val 40000"/>
              <a:gd name="adj2" fmla="val 40469"/>
              <a:gd name="adj3" fmla="val 45980"/>
              <a:gd name="adj4" fmla="val 43750"/>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sp macro="" textlink="">
        <xdr:nvSpPr>
          <xdr:cNvPr id="47" name="Retângulo 46">
            <a:extLst>
              <a:ext uri="{FF2B5EF4-FFF2-40B4-BE49-F238E27FC236}">
                <a16:creationId xmlns:a16="http://schemas.microsoft.com/office/drawing/2014/main" id="{00000000-0008-0000-0000-00002F000000}"/>
              </a:ext>
            </a:extLst>
          </xdr:cNvPr>
          <xdr:cNvSpPr/>
        </xdr:nvSpPr>
        <xdr:spPr>
          <a:xfrm>
            <a:off x="1824667" y="4256625"/>
            <a:ext cx="6862133" cy="291163"/>
          </a:xfrm>
          <a:prstGeom prst="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sp macro="" textlink="">
        <xdr:nvSpPr>
          <xdr:cNvPr id="48" name="Retângulo Arredondado 47">
            <a:extLst>
              <a:ext uri="{FF2B5EF4-FFF2-40B4-BE49-F238E27FC236}">
                <a16:creationId xmlns:a16="http://schemas.microsoft.com/office/drawing/2014/main" id="{00000000-0008-0000-0000-000030000000}"/>
              </a:ext>
            </a:extLst>
          </xdr:cNvPr>
          <xdr:cNvSpPr/>
        </xdr:nvSpPr>
        <xdr:spPr>
          <a:xfrm>
            <a:off x="8437451" y="3688859"/>
            <a:ext cx="317702" cy="854565"/>
          </a:xfrm>
          <a:prstGeom prst="round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grpSp>
    <xdr:clientData/>
  </xdr:twoCellAnchor>
  <xdr:twoCellAnchor>
    <xdr:from>
      <xdr:col>10</xdr:col>
      <xdr:colOff>104775</xdr:colOff>
      <xdr:row>15</xdr:row>
      <xdr:rowOff>85725</xdr:rowOff>
    </xdr:from>
    <xdr:to>
      <xdr:col>11</xdr:col>
      <xdr:colOff>114300</xdr:colOff>
      <xdr:row>18</xdr:row>
      <xdr:rowOff>57150</xdr:rowOff>
    </xdr:to>
    <xdr:sp macro="" textlink="">
      <xdr:nvSpPr>
        <xdr:cNvPr id="39" name="Seta para a Direita 38">
          <a:extLst>
            <a:ext uri="{FF2B5EF4-FFF2-40B4-BE49-F238E27FC236}">
              <a16:creationId xmlns:a16="http://schemas.microsoft.com/office/drawing/2014/main" id="{00000000-0008-0000-0000-000027000000}"/>
            </a:ext>
          </a:extLst>
        </xdr:cNvPr>
        <xdr:cNvSpPr/>
      </xdr:nvSpPr>
      <xdr:spPr>
        <a:xfrm>
          <a:off x="6962775" y="28003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11613</xdr:rowOff>
    </xdr:from>
    <xdr:to>
      <xdr:col>2</xdr:col>
      <xdr:colOff>0</xdr:colOff>
      <xdr:row>0</xdr:row>
      <xdr:rowOff>894420</xdr:rowOff>
    </xdr:to>
    <xdr:pic>
      <xdr:nvPicPr>
        <xdr:cNvPr id="2" name="Picture 928112">
          <a:extLst>
            <a:ext uri="{FF2B5EF4-FFF2-40B4-BE49-F238E27FC236}">
              <a16:creationId xmlns:a16="http://schemas.microsoft.com/office/drawing/2014/main" id="{A6BE61BA-5A25-4D94-A44D-D931E160C381}"/>
            </a:ext>
          </a:extLst>
        </xdr:cNvPr>
        <xdr:cNvPicPr/>
      </xdr:nvPicPr>
      <xdr:blipFill>
        <a:blip xmlns:r="http://schemas.openxmlformats.org/officeDocument/2006/relationships" r:embed="rId1"/>
        <a:stretch>
          <a:fillRect/>
        </a:stretch>
      </xdr:blipFill>
      <xdr:spPr>
        <a:xfrm>
          <a:off x="0" y="11613"/>
          <a:ext cx="836341" cy="88280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9524</xdr:colOff>
      <xdr:row>0</xdr:row>
      <xdr:rowOff>609600</xdr:rowOff>
    </xdr:to>
    <xdr:pic>
      <xdr:nvPicPr>
        <xdr:cNvPr id="6" name="Picture 928112">
          <a:extLst>
            <a:ext uri="{FF2B5EF4-FFF2-40B4-BE49-F238E27FC236}">
              <a16:creationId xmlns:a16="http://schemas.microsoft.com/office/drawing/2014/main" id="{346DA1AF-9440-4E25-AE9F-B182D9697243}"/>
            </a:ext>
          </a:extLst>
        </xdr:cNvPr>
        <xdr:cNvPicPr/>
      </xdr:nvPicPr>
      <xdr:blipFill>
        <a:blip xmlns:r="http://schemas.openxmlformats.org/officeDocument/2006/relationships" r:embed="rId1"/>
        <a:stretch>
          <a:fillRect/>
        </a:stretch>
      </xdr:blipFill>
      <xdr:spPr>
        <a:xfrm>
          <a:off x="0" y="9525"/>
          <a:ext cx="695324" cy="6000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1</xdr:row>
      <xdr:rowOff>152400</xdr:rowOff>
    </xdr:from>
    <xdr:to>
      <xdr:col>4</xdr:col>
      <xdr:colOff>0</xdr:colOff>
      <xdr:row>3</xdr:row>
      <xdr:rowOff>28576</xdr:rowOff>
    </xdr:to>
    <xdr:sp macro="" textlink="">
      <xdr:nvSpPr>
        <xdr:cNvPr id="2" name="Retângulo Arredondado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3562350" y="152400"/>
          <a:ext cx="1209675" cy="285751"/>
        </a:xfrm>
        <a:prstGeom prst="roundRect">
          <a:avLst/>
        </a:prstGeom>
        <a:solidFill>
          <a:srgbClr val="00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ysClr val="windowText" lastClr="000000"/>
              </a:solidFill>
            </a:rPr>
            <a:t>Voltar</a:t>
          </a:r>
          <a:r>
            <a:rPr lang="pt-BR" sz="1100" b="1" baseline="0">
              <a:solidFill>
                <a:sysClr val="windowText" lastClr="000000"/>
              </a:solidFill>
            </a:rPr>
            <a:t> ao INÍCIO</a:t>
          </a:r>
          <a:endParaRPr lang="pt-BR" sz="1100" b="1">
            <a:solidFill>
              <a:sysClr val="windowText" lastClr="000000"/>
            </a:solidFill>
          </a:endParaRPr>
        </a:p>
      </xdr:txBody>
    </xdr:sp>
    <xdr:clientData/>
  </xdr:twoCellAnchor>
  <xdr:twoCellAnchor editAs="oneCell">
    <xdr:from>
      <xdr:col>0</xdr:col>
      <xdr:colOff>19439</xdr:colOff>
      <xdr:row>0</xdr:row>
      <xdr:rowOff>19441</xdr:rowOff>
    </xdr:from>
    <xdr:to>
      <xdr:col>1</xdr:col>
      <xdr:colOff>1</xdr:colOff>
      <xdr:row>0</xdr:row>
      <xdr:rowOff>690079</xdr:rowOff>
    </xdr:to>
    <xdr:pic>
      <xdr:nvPicPr>
        <xdr:cNvPr id="4" name="Picture 928112">
          <a:extLst>
            <a:ext uri="{FF2B5EF4-FFF2-40B4-BE49-F238E27FC236}">
              <a16:creationId xmlns:a16="http://schemas.microsoft.com/office/drawing/2014/main" id="{E7A878C3-02E2-4C64-8181-3F8A01B37FBC}"/>
            </a:ext>
          </a:extLst>
        </xdr:cNvPr>
        <xdr:cNvPicPr/>
      </xdr:nvPicPr>
      <xdr:blipFill>
        <a:blip xmlns:r="http://schemas.openxmlformats.org/officeDocument/2006/relationships" r:embed="rId2"/>
        <a:stretch>
          <a:fillRect/>
        </a:stretch>
      </xdr:blipFill>
      <xdr:spPr>
        <a:xfrm>
          <a:off x="19439" y="19441"/>
          <a:ext cx="670639" cy="6706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0</xdr:colOff>
      <xdr:row>1</xdr:row>
      <xdr:rowOff>0</xdr:rowOff>
    </xdr:to>
    <xdr:pic>
      <xdr:nvPicPr>
        <xdr:cNvPr id="2" name="Picture 928112">
          <a:extLst>
            <a:ext uri="{FF2B5EF4-FFF2-40B4-BE49-F238E27FC236}">
              <a16:creationId xmlns:a16="http://schemas.microsoft.com/office/drawing/2014/main" id="{E855F99A-ED99-4E7E-B139-556A362FBA7B}"/>
            </a:ext>
          </a:extLst>
        </xdr:cNvPr>
        <xdr:cNvPicPr/>
      </xdr:nvPicPr>
      <xdr:blipFill>
        <a:blip xmlns:r="http://schemas.openxmlformats.org/officeDocument/2006/relationships" r:embed="rId1"/>
        <a:stretch>
          <a:fillRect/>
        </a:stretch>
      </xdr:blipFill>
      <xdr:spPr>
        <a:xfrm>
          <a:off x="0" y="0"/>
          <a:ext cx="685800" cy="695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19440</xdr:colOff>
      <xdr:row>0</xdr:row>
      <xdr:rowOff>27513</xdr:rowOff>
    </xdr:from>
    <xdr:to>
      <xdr:col>1</xdr:col>
      <xdr:colOff>0</xdr:colOff>
      <xdr:row>0</xdr:row>
      <xdr:rowOff>637691</xdr:rowOff>
    </xdr:to>
    <xdr:pic>
      <xdr:nvPicPr>
        <xdr:cNvPr id="2" name="Picture 928112">
          <a:extLst>
            <a:ext uri="{FF2B5EF4-FFF2-40B4-BE49-F238E27FC236}">
              <a16:creationId xmlns:a16="http://schemas.microsoft.com/office/drawing/2014/main" id="{BF579C51-9D46-491B-ACD3-7275D63EFE69}"/>
            </a:ext>
          </a:extLst>
        </xdr:cNvPr>
        <xdr:cNvPicPr/>
      </xdr:nvPicPr>
      <xdr:blipFill>
        <a:blip xmlns:r="http://schemas.openxmlformats.org/officeDocument/2006/relationships" r:embed="rId1"/>
        <a:stretch>
          <a:fillRect/>
        </a:stretch>
      </xdr:blipFill>
      <xdr:spPr>
        <a:xfrm>
          <a:off x="19440" y="27513"/>
          <a:ext cx="602107" cy="61017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19440</xdr:colOff>
      <xdr:row>0</xdr:row>
      <xdr:rowOff>0</xdr:rowOff>
    </xdr:from>
    <xdr:to>
      <xdr:col>1</xdr:col>
      <xdr:colOff>0</xdr:colOff>
      <xdr:row>1</xdr:row>
      <xdr:rowOff>9525</xdr:rowOff>
    </xdr:to>
    <xdr:pic>
      <xdr:nvPicPr>
        <xdr:cNvPr id="3" name="Picture 928112">
          <a:extLst>
            <a:ext uri="{FF2B5EF4-FFF2-40B4-BE49-F238E27FC236}">
              <a16:creationId xmlns:a16="http://schemas.microsoft.com/office/drawing/2014/main" id="{7334CCE0-725C-4446-BD40-12C15E54DF72}"/>
            </a:ext>
          </a:extLst>
        </xdr:cNvPr>
        <xdr:cNvPicPr/>
      </xdr:nvPicPr>
      <xdr:blipFill>
        <a:blip xmlns:r="http://schemas.openxmlformats.org/officeDocument/2006/relationships" r:embed="rId1"/>
        <a:stretch>
          <a:fillRect/>
        </a:stretch>
      </xdr:blipFill>
      <xdr:spPr>
        <a:xfrm>
          <a:off x="19440" y="0"/>
          <a:ext cx="675885" cy="6477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0</xdr:col>
      <xdr:colOff>581025</xdr:colOff>
      <xdr:row>0</xdr:row>
      <xdr:rowOff>628650</xdr:rowOff>
    </xdr:to>
    <xdr:pic>
      <xdr:nvPicPr>
        <xdr:cNvPr id="2" name="Picture 928112">
          <a:extLst>
            <a:ext uri="{FF2B5EF4-FFF2-40B4-BE49-F238E27FC236}">
              <a16:creationId xmlns:a16="http://schemas.microsoft.com/office/drawing/2014/main" id="{28B1CF1F-4581-4821-BB29-48D83E29A994}"/>
            </a:ext>
          </a:extLst>
        </xdr:cNvPr>
        <xdr:cNvPicPr/>
      </xdr:nvPicPr>
      <xdr:blipFill>
        <a:blip xmlns:r="http://schemas.openxmlformats.org/officeDocument/2006/relationships" r:embed="rId1"/>
        <a:stretch>
          <a:fillRect/>
        </a:stretch>
      </xdr:blipFill>
      <xdr:spPr>
        <a:xfrm>
          <a:off x="0" y="9525"/>
          <a:ext cx="581025" cy="6191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504435</xdr:colOff>
      <xdr:row>0</xdr:row>
      <xdr:rowOff>685409</xdr:rowOff>
    </xdr:to>
    <xdr:pic>
      <xdr:nvPicPr>
        <xdr:cNvPr id="3" name="Picture 928112">
          <a:extLst>
            <a:ext uri="{FF2B5EF4-FFF2-40B4-BE49-F238E27FC236}">
              <a16:creationId xmlns:a16="http://schemas.microsoft.com/office/drawing/2014/main" id="{DD9957A9-8B3C-4BA9-9CE7-4B3356C6FEC8}"/>
            </a:ext>
          </a:extLst>
        </xdr:cNvPr>
        <xdr:cNvPicPr/>
      </xdr:nvPicPr>
      <xdr:blipFill>
        <a:blip xmlns:r="http://schemas.openxmlformats.org/officeDocument/2006/relationships" r:embed="rId1"/>
        <a:stretch>
          <a:fillRect/>
        </a:stretch>
      </xdr:blipFill>
      <xdr:spPr>
        <a:xfrm>
          <a:off x="38100" y="0"/>
          <a:ext cx="647310" cy="685409"/>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6.bin"/><Relationship Id="rId1" Type="http://schemas.openxmlformats.org/officeDocument/2006/relationships/hyperlink" Target="https://app.orcafascio.com/v2023/orc/orcamentos/672df8355d8b4917be33cdbc/compositions/44acb3c6-02b6-40fb-b2e8-3d8333e22add"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sheetPr>
  <dimension ref="P19"/>
  <sheetViews>
    <sheetView showGridLines="0" workbookViewId="0"/>
  </sheetViews>
  <sheetFormatPr defaultRowHeight="14.25"/>
  <sheetData>
    <row r="19" spans="16:16">
      <c r="P19" t="s">
        <v>0</v>
      </c>
    </row>
  </sheetData>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ADFF4-0B74-4089-AD8F-B66A0494AFCE}">
  <dimension ref="A1:AL64"/>
  <sheetViews>
    <sheetView showGridLines="0" tabSelected="1" zoomScale="115" zoomScaleNormal="115" workbookViewId="0">
      <selection activeCell="E43" sqref="E43"/>
    </sheetView>
  </sheetViews>
  <sheetFormatPr defaultColWidth="20" defaultRowHeight="12.75"/>
  <cols>
    <col min="1" max="1" width="6.875" style="615" customWidth="1"/>
    <col min="2" max="2" width="14.125" style="615" customWidth="1"/>
    <col min="3" max="3" width="20" style="615"/>
    <col min="4" max="4" width="14.375" style="615" customWidth="1"/>
    <col min="5" max="5" width="11.75" style="615" bestFit="1" customWidth="1"/>
    <col min="6" max="6" width="9.625" style="615" customWidth="1"/>
    <col min="7" max="7" width="10.75" style="615" bestFit="1" customWidth="1"/>
    <col min="8" max="8" width="17.875" style="615" customWidth="1"/>
    <col min="9" max="11" width="13" style="615" customWidth="1"/>
    <col min="12" max="16384" width="20" style="615"/>
  </cols>
  <sheetData>
    <row r="1" spans="1:38" ht="26.25" customHeight="1">
      <c r="A1" s="1040" t="s">
        <v>914</v>
      </c>
      <c r="B1" s="1041"/>
      <c r="C1" s="1041"/>
      <c r="D1" s="1041"/>
      <c r="E1" s="1041"/>
      <c r="F1" s="1041"/>
      <c r="G1" s="1041"/>
      <c r="H1" s="1041"/>
      <c r="I1" s="1041"/>
      <c r="J1" s="1041"/>
      <c r="K1" s="1041"/>
    </row>
    <row r="2" spans="1:38">
      <c r="A2" s="698"/>
      <c r="B2" s="698"/>
      <c r="C2" s="699"/>
      <c r="D2" s="699"/>
      <c r="E2" s="699"/>
      <c r="F2" s="699"/>
      <c r="G2" s="699"/>
      <c r="H2" s="377"/>
    </row>
    <row r="3" spans="1:38">
      <c r="A3" s="1053" t="s">
        <v>915</v>
      </c>
      <c r="B3" s="1054"/>
      <c r="C3" s="1042"/>
      <c r="D3" s="1042"/>
      <c r="E3" s="1042"/>
      <c r="F3" s="1042"/>
      <c r="G3" s="1042"/>
      <c r="H3" s="1042"/>
      <c r="I3" s="1043"/>
      <c r="J3" s="700" t="s">
        <v>916</v>
      </c>
      <c r="K3" s="701"/>
    </row>
    <row r="4" spans="1:38">
      <c r="A4" s="1053" t="s">
        <v>917</v>
      </c>
      <c r="B4" s="1054"/>
      <c r="C4" s="1042"/>
      <c r="D4" s="1042"/>
      <c r="E4" s="1042"/>
      <c r="F4" s="1042"/>
      <c r="G4" s="1042"/>
      <c r="H4" s="1042"/>
      <c r="I4" s="1042"/>
      <c r="J4" s="700" t="s">
        <v>918</v>
      </c>
      <c r="K4" s="701"/>
    </row>
    <row r="5" spans="1:38" ht="12.75" customHeight="1">
      <c r="A5" s="1034" t="s">
        <v>919</v>
      </c>
      <c r="B5" s="1035"/>
      <c r="C5" s="1044" t="s">
        <v>920</v>
      </c>
      <c r="D5" s="1045"/>
      <c r="E5" s="1045"/>
      <c r="F5" s="1045"/>
      <c r="G5" s="1045"/>
      <c r="H5" s="1045"/>
      <c r="I5" s="1045"/>
      <c r="J5" s="1045"/>
      <c r="K5" s="1046"/>
    </row>
    <row r="6" spans="1:38">
      <c r="A6" s="1036"/>
      <c r="B6" s="1037"/>
      <c r="C6" s="1047"/>
      <c r="D6" s="1048"/>
      <c r="E6" s="1048"/>
      <c r="F6" s="1048"/>
      <c r="G6" s="1048"/>
      <c r="H6" s="1048"/>
      <c r="I6" s="1048"/>
      <c r="J6" s="1048"/>
      <c r="K6" s="1049"/>
    </row>
    <row r="7" spans="1:38">
      <c r="A7" s="1038"/>
      <c r="B7" s="1039"/>
      <c r="C7" s="1050"/>
      <c r="D7" s="1051"/>
      <c r="E7" s="1051"/>
      <c r="F7" s="1051"/>
      <c r="G7" s="1051"/>
      <c r="H7" s="1051"/>
      <c r="I7" s="1051"/>
      <c r="J7" s="1051"/>
      <c r="K7" s="1052"/>
    </row>
    <row r="8" spans="1:38">
      <c r="A8" s="377"/>
      <c r="B8" s="377"/>
      <c r="C8" s="377"/>
      <c r="D8" s="377"/>
      <c r="E8" s="377"/>
      <c r="F8" s="377"/>
      <c r="G8" s="377"/>
      <c r="H8" s="377"/>
    </row>
    <row r="9" spans="1:38">
      <c r="A9" s="697" t="s">
        <v>921</v>
      </c>
      <c r="B9" s="377"/>
      <c r="C9" s="377"/>
      <c r="D9" s="377"/>
      <c r="E9" s="377"/>
      <c r="F9" s="377"/>
      <c r="G9" s="377"/>
      <c r="H9" s="377"/>
    </row>
    <row r="10" spans="1:38">
      <c r="A10" s="618"/>
      <c r="B10" s="618"/>
      <c r="C10" s="618"/>
      <c r="D10" s="618"/>
      <c r="E10" s="618"/>
      <c r="F10" s="618"/>
      <c r="G10" s="618"/>
      <c r="H10" s="618"/>
      <c r="I10" s="618"/>
      <c r="J10" s="618"/>
      <c r="K10" s="618"/>
      <c r="L10" s="618"/>
      <c r="M10" s="618"/>
      <c r="N10" s="618"/>
      <c r="O10" s="618"/>
      <c r="P10" s="618"/>
      <c r="R10" s="586">
        <v>1</v>
      </c>
      <c r="S10" s="586" t="s">
        <v>30</v>
      </c>
      <c r="T10" s="586" t="s">
        <v>922</v>
      </c>
      <c r="U10" s="616">
        <v>1</v>
      </c>
      <c r="V10" s="616"/>
      <c r="W10" s="616"/>
      <c r="X10" s="616"/>
      <c r="Y10" s="617"/>
      <c r="Z10" s="616"/>
      <c r="AA10" s="616"/>
      <c r="AB10" s="616"/>
      <c r="AC10" s="617"/>
      <c r="AD10" s="617"/>
      <c r="AE10" s="617"/>
      <c r="AF10" s="617"/>
      <c r="AG10" s="617"/>
      <c r="AH10" s="616"/>
      <c r="AI10" s="617"/>
      <c r="AJ10" s="616"/>
      <c r="AK10" s="616"/>
      <c r="AL10" s="616">
        <f t="shared" ref="AL10:AL11" si="0">SUBTOTAL(9,U10:AK10)</f>
        <v>1</v>
      </c>
    </row>
    <row r="11" spans="1:38" ht="49.5" customHeight="1">
      <c r="A11" s="749" t="s">
        <v>249</v>
      </c>
      <c r="B11" s="749" t="s">
        <v>4</v>
      </c>
      <c r="C11" s="749" t="s">
        <v>923</v>
      </c>
      <c r="D11" s="750" t="s">
        <v>749</v>
      </c>
      <c r="E11" s="750" t="s">
        <v>312</v>
      </c>
      <c r="F11" s="750" t="s">
        <v>924</v>
      </c>
      <c r="G11" s="751" t="s">
        <v>925</v>
      </c>
      <c r="H11" s="750" t="s">
        <v>926</v>
      </c>
      <c r="I11" s="750" t="s">
        <v>927</v>
      </c>
      <c r="J11" s="750" t="s">
        <v>928</v>
      </c>
      <c r="K11" s="750" t="s">
        <v>929</v>
      </c>
      <c r="L11" s="618"/>
      <c r="M11" s="618"/>
      <c r="N11" s="618"/>
      <c r="O11" s="618"/>
      <c r="P11" s="618"/>
      <c r="R11" s="586">
        <v>2</v>
      </c>
      <c r="S11" s="586" t="s">
        <v>30</v>
      </c>
      <c r="T11" s="586" t="s">
        <v>41</v>
      </c>
      <c r="U11" s="616">
        <v>2</v>
      </c>
      <c r="V11" s="616"/>
      <c r="W11" s="616"/>
      <c r="X11" s="616"/>
      <c r="Y11" s="617"/>
      <c r="Z11" s="616"/>
      <c r="AA11" s="616"/>
      <c r="AB11" s="616"/>
      <c r="AC11" s="617"/>
      <c r="AD11" s="617"/>
      <c r="AE11" s="617"/>
      <c r="AF11" s="617"/>
      <c r="AG11" s="617"/>
      <c r="AH11" s="616"/>
      <c r="AI11" s="617"/>
      <c r="AJ11" s="616"/>
      <c r="AK11" s="616"/>
      <c r="AL11" s="616">
        <f t="shared" si="0"/>
        <v>2</v>
      </c>
    </row>
    <row r="12" spans="1:38" ht="25.5">
      <c r="A12" s="1064">
        <v>1</v>
      </c>
      <c r="B12" s="1067" t="s">
        <v>930</v>
      </c>
      <c r="C12" s="746" t="s">
        <v>811</v>
      </c>
      <c r="D12" s="738" t="s">
        <v>931</v>
      </c>
      <c r="E12" s="739" t="s">
        <v>932</v>
      </c>
      <c r="F12" s="739">
        <v>1</v>
      </c>
      <c r="G12" s="739">
        <v>1</v>
      </c>
      <c r="H12" s="619">
        <f>PCFP!K$129</f>
        <v>32562.29</v>
      </c>
      <c r="I12" s="619">
        <f t="shared" ref="I12:I47" si="1">H12*G12</f>
        <v>32562.29</v>
      </c>
      <c r="J12" s="630">
        <f>I12*12</f>
        <v>390747.48</v>
      </c>
      <c r="K12" s="619">
        <f>I12*40</f>
        <v>1302491.6000000001</v>
      </c>
      <c r="L12" s="618"/>
      <c r="M12" s="618"/>
      <c r="N12" s="618"/>
      <c r="O12" s="618"/>
      <c r="P12" s="618"/>
      <c r="R12" s="586">
        <v>3</v>
      </c>
      <c r="S12" s="586" t="s">
        <v>30</v>
      </c>
      <c r="T12" s="586" t="s">
        <v>48</v>
      </c>
      <c r="U12" s="616">
        <v>1</v>
      </c>
      <c r="V12" s="616">
        <v>1</v>
      </c>
      <c r="W12" s="616">
        <v>1</v>
      </c>
      <c r="X12" s="616">
        <v>1</v>
      </c>
      <c r="Y12" s="617">
        <v>1</v>
      </c>
      <c r="Z12" s="616">
        <v>1</v>
      </c>
      <c r="AA12" s="616">
        <v>1</v>
      </c>
      <c r="AB12" s="616">
        <v>1</v>
      </c>
      <c r="AC12" s="617">
        <v>1</v>
      </c>
      <c r="AD12" s="617">
        <v>1</v>
      </c>
      <c r="AE12" s="617">
        <v>1</v>
      </c>
      <c r="AF12" s="617">
        <v>1</v>
      </c>
      <c r="AG12" s="617">
        <v>1</v>
      </c>
      <c r="AH12" s="616">
        <v>1</v>
      </c>
      <c r="AI12" s="617">
        <v>1</v>
      </c>
      <c r="AJ12" s="616">
        <v>1</v>
      </c>
      <c r="AK12" s="616">
        <v>1</v>
      </c>
      <c r="AL12" s="616">
        <f>SUM(U12:AK12)</f>
        <v>17</v>
      </c>
    </row>
    <row r="13" spans="1:38" ht="25.5">
      <c r="A13" s="1065"/>
      <c r="B13" s="1068"/>
      <c r="C13" s="746" t="s">
        <v>812</v>
      </c>
      <c r="D13" s="740" t="s">
        <v>933</v>
      </c>
      <c r="E13" s="739" t="s">
        <v>934</v>
      </c>
      <c r="F13" s="739">
        <v>3</v>
      </c>
      <c r="G13" s="739">
        <v>3</v>
      </c>
      <c r="H13" s="619">
        <f>PCFP!L$129</f>
        <v>10417.83</v>
      </c>
      <c r="I13" s="619">
        <f t="shared" si="1"/>
        <v>31253.489999999998</v>
      </c>
      <c r="J13" s="630">
        <f t="shared" ref="J13:J27" si="2">I13*12</f>
        <v>375041.88</v>
      </c>
      <c r="K13" s="619">
        <f t="shared" ref="K13:K47" si="3">I13*40</f>
        <v>1250139.5999999999</v>
      </c>
      <c r="L13" s="618"/>
      <c r="M13" s="618"/>
      <c r="N13" s="618"/>
      <c r="O13" s="618"/>
      <c r="P13" s="618"/>
      <c r="R13" s="586">
        <v>4</v>
      </c>
      <c r="S13" s="586" t="s">
        <v>30</v>
      </c>
      <c r="T13" s="586" t="s">
        <v>935</v>
      </c>
      <c r="U13" s="616">
        <v>1</v>
      </c>
      <c r="V13" s="616"/>
      <c r="W13" s="616"/>
      <c r="X13" s="616"/>
      <c r="Y13" s="617"/>
      <c r="Z13" s="616"/>
      <c r="AA13" s="616"/>
      <c r="AB13" s="616"/>
      <c r="AC13" s="617"/>
      <c r="AD13" s="617"/>
      <c r="AE13" s="617"/>
      <c r="AF13" s="617"/>
      <c r="AG13" s="617"/>
      <c r="AH13" s="616"/>
      <c r="AI13" s="617"/>
      <c r="AJ13" s="616"/>
      <c r="AK13" s="616"/>
      <c r="AL13" s="616">
        <f t="shared" ref="AL13:AL45" si="4">SUBTOTAL(9,U13:AK13)</f>
        <v>1</v>
      </c>
    </row>
    <row r="14" spans="1:38" ht="25.5">
      <c r="A14" s="1065"/>
      <c r="B14" s="1068"/>
      <c r="C14" s="746" t="s">
        <v>813</v>
      </c>
      <c r="D14" s="740" t="s">
        <v>936</v>
      </c>
      <c r="E14" s="739" t="s">
        <v>934</v>
      </c>
      <c r="F14" s="739">
        <v>2</v>
      </c>
      <c r="G14" s="739">
        <v>2</v>
      </c>
      <c r="H14" s="619">
        <f>PCFP!M$129</f>
        <v>9020.08</v>
      </c>
      <c r="I14" s="619">
        <f t="shared" si="1"/>
        <v>18040.16</v>
      </c>
      <c r="J14" s="630">
        <f t="shared" si="2"/>
        <v>216481.91999999998</v>
      </c>
      <c r="K14" s="619">
        <f t="shared" si="3"/>
        <v>721606.4</v>
      </c>
      <c r="L14" s="618"/>
      <c r="M14" s="618"/>
      <c r="N14" s="618"/>
      <c r="O14" s="618"/>
      <c r="P14" s="618"/>
      <c r="R14" s="586">
        <v>5</v>
      </c>
      <c r="S14" s="586" t="s">
        <v>30</v>
      </c>
      <c r="T14" s="586" t="s">
        <v>56</v>
      </c>
      <c r="U14" s="616">
        <v>3</v>
      </c>
      <c r="V14" s="616">
        <v>1</v>
      </c>
      <c r="W14" s="616">
        <v>1</v>
      </c>
      <c r="X14" s="616"/>
      <c r="Y14" s="617"/>
      <c r="Z14" s="616"/>
      <c r="AA14" s="616"/>
      <c r="AB14" s="616"/>
      <c r="AC14" s="617"/>
      <c r="AD14" s="617"/>
      <c r="AE14" s="617">
        <v>1</v>
      </c>
      <c r="AF14" s="617"/>
      <c r="AG14" s="617"/>
      <c r="AH14" s="616"/>
      <c r="AI14" s="617"/>
      <c r="AJ14" s="616"/>
      <c r="AK14" s="616"/>
      <c r="AL14" s="616">
        <f t="shared" si="4"/>
        <v>6</v>
      </c>
    </row>
    <row r="15" spans="1:38" ht="25.5">
      <c r="A15" s="1065"/>
      <c r="B15" s="1068"/>
      <c r="C15" s="746" t="s">
        <v>814</v>
      </c>
      <c r="D15" s="738" t="s">
        <v>937</v>
      </c>
      <c r="E15" s="739" t="s">
        <v>932</v>
      </c>
      <c r="F15" s="739">
        <v>2</v>
      </c>
      <c r="G15" s="739">
        <v>2</v>
      </c>
      <c r="H15" s="619">
        <f>PCFP!N$129</f>
        <v>9020.08</v>
      </c>
      <c r="I15" s="619">
        <f t="shared" si="1"/>
        <v>18040.16</v>
      </c>
      <c r="J15" s="630">
        <f t="shared" si="2"/>
        <v>216481.91999999998</v>
      </c>
      <c r="K15" s="619">
        <f t="shared" si="3"/>
        <v>721606.4</v>
      </c>
      <c r="L15" s="618"/>
      <c r="M15" s="618"/>
      <c r="N15" s="618"/>
      <c r="O15" s="618"/>
      <c r="P15" s="618"/>
      <c r="R15" s="586">
        <v>6</v>
      </c>
      <c r="S15" s="586" t="s">
        <v>30</v>
      </c>
      <c r="T15" s="620" t="s">
        <v>60</v>
      </c>
      <c r="U15" s="616">
        <v>1</v>
      </c>
      <c r="V15" s="616"/>
      <c r="W15" s="616"/>
      <c r="X15" s="616"/>
      <c r="Y15" s="617"/>
      <c r="Z15" s="616"/>
      <c r="AA15" s="616"/>
      <c r="AB15" s="616"/>
      <c r="AC15" s="617"/>
      <c r="AD15" s="617"/>
      <c r="AE15" s="617"/>
      <c r="AF15" s="617"/>
      <c r="AG15" s="617"/>
      <c r="AH15" s="616"/>
      <c r="AI15" s="617"/>
      <c r="AJ15" s="616"/>
      <c r="AK15" s="616"/>
      <c r="AL15" s="616">
        <f t="shared" si="4"/>
        <v>1</v>
      </c>
    </row>
    <row r="16" spans="1:38" ht="25.5">
      <c r="A16" s="1065"/>
      <c r="B16" s="1068"/>
      <c r="C16" s="683" t="s">
        <v>815</v>
      </c>
      <c r="D16" s="738" t="s">
        <v>938</v>
      </c>
      <c r="E16" s="739" t="s">
        <v>934</v>
      </c>
      <c r="F16" s="739">
        <v>4</v>
      </c>
      <c r="G16" s="739">
        <v>4</v>
      </c>
      <c r="H16" s="619">
        <f>PCFP!O$129</f>
        <v>7774.88</v>
      </c>
      <c r="I16" s="619">
        <f t="shared" si="1"/>
        <v>31099.52</v>
      </c>
      <c r="J16" s="630">
        <f t="shared" si="2"/>
        <v>373194.23999999999</v>
      </c>
      <c r="K16" s="619">
        <f t="shared" si="3"/>
        <v>1243980.8</v>
      </c>
      <c r="L16" s="618"/>
      <c r="M16" s="618"/>
      <c r="N16" s="618"/>
      <c r="O16" s="618"/>
      <c r="P16" s="618"/>
      <c r="R16" s="586">
        <v>7</v>
      </c>
      <c r="S16" s="586" t="s">
        <v>30</v>
      </c>
      <c r="T16" s="586" t="s">
        <v>63</v>
      </c>
      <c r="U16" s="616">
        <v>2</v>
      </c>
      <c r="V16" s="616"/>
      <c r="W16" s="616">
        <v>1</v>
      </c>
      <c r="X16" s="616"/>
      <c r="Y16" s="617"/>
      <c r="Z16" s="616"/>
      <c r="AA16" s="616"/>
      <c r="AB16" s="616"/>
      <c r="AC16" s="617"/>
      <c r="AD16" s="617"/>
      <c r="AE16" s="617"/>
      <c r="AF16" s="617"/>
      <c r="AG16" s="617"/>
      <c r="AH16" s="616"/>
      <c r="AI16" s="617"/>
      <c r="AJ16" s="616"/>
      <c r="AK16" s="616">
        <v>1</v>
      </c>
      <c r="AL16" s="616">
        <f t="shared" si="4"/>
        <v>4</v>
      </c>
    </row>
    <row r="17" spans="1:38" ht="26.25" customHeight="1">
      <c r="A17" s="1065"/>
      <c r="B17" s="1068"/>
      <c r="C17" s="747" t="s">
        <v>816</v>
      </c>
      <c r="D17" s="738" t="s">
        <v>939</v>
      </c>
      <c r="E17" s="739" t="s">
        <v>934</v>
      </c>
      <c r="F17" s="739">
        <v>2</v>
      </c>
      <c r="G17" s="739">
        <v>2</v>
      </c>
      <c r="H17" s="619">
        <f>PCFP!P$129</f>
        <v>9020.08</v>
      </c>
      <c r="I17" s="619">
        <f t="shared" si="1"/>
        <v>18040.16</v>
      </c>
      <c r="J17" s="630">
        <f t="shared" si="2"/>
        <v>216481.91999999998</v>
      </c>
      <c r="K17" s="619">
        <f t="shared" si="3"/>
        <v>721606.4</v>
      </c>
      <c r="L17" s="618"/>
      <c r="M17" s="618"/>
      <c r="N17" s="618"/>
      <c r="O17" s="618"/>
      <c r="P17" s="618"/>
      <c r="R17" s="586">
        <v>8</v>
      </c>
      <c r="S17" s="586" t="s">
        <v>30</v>
      </c>
      <c r="T17" s="620" t="s">
        <v>66</v>
      </c>
      <c r="U17" s="616">
        <v>1</v>
      </c>
      <c r="V17" s="616"/>
      <c r="W17" s="616"/>
      <c r="X17" s="616"/>
      <c r="Y17" s="617"/>
      <c r="Z17" s="616"/>
      <c r="AA17" s="616"/>
      <c r="AB17" s="616"/>
      <c r="AC17" s="617"/>
      <c r="AD17" s="617"/>
      <c r="AE17" s="617"/>
      <c r="AF17" s="617"/>
      <c r="AG17" s="617"/>
      <c r="AH17" s="616"/>
      <c r="AI17" s="617"/>
      <c r="AJ17" s="616"/>
      <c r="AK17" s="616"/>
      <c r="AL17" s="616">
        <f t="shared" si="4"/>
        <v>1</v>
      </c>
    </row>
    <row r="18" spans="1:38" ht="25.5">
      <c r="A18" s="1065"/>
      <c r="B18" s="1068"/>
      <c r="C18" s="683" t="s">
        <v>782</v>
      </c>
      <c r="D18" s="739" t="s">
        <v>940</v>
      </c>
      <c r="E18" s="739" t="s">
        <v>934</v>
      </c>
      <c r="F18" s="739">
        <v>2</v>
      </c>
      <c r="G18" s="739">
        <v>2</v>
      </c>
      <c r="H18" s="619">
        <f>PCFP!Q$129</f>
        <v>9020.08</v>
      </c>
      <c r="I18" s="619">
        <f t="shared" si="1"/>
        <v>18040.16</v>
      </c>
      <c r="J18" s="630">
        <f t="shared" si="2"/>
        <v>216481.91999999998</v>
      </c>
      <c r="K18" s="619">
        <f t="shared" si="3"/>
        <v>721606.4</v>
      </c>
      <c r="L18" s="618"/>
      <c r="M18" s="618"/>
      <c r="N18" s="618"/>
      <c r="O18" s="618"/>
      <c r="P18" s="618"/>
      <c r="R18" s="621">
        <v>9</v>
      </c>
      <c r="S18" s="621" t="s">
        <v>30</v>
      </c>
      <c r="T18" s="622" t="s">
        <v>67</v>
      </c>
      <c r="U18" s="623">
        <v>2</v>
      </c>
      <c r="V18" s="623"/>
      <c r="W18" s="623"/>
      <c r="X18" s="623"/>
      <c r="Y18" s="624"/>
      <c r="Z18" s="623"/>
      <c r="AA18" s="623"/>
      <c r="AB18" s="623"/>
      <c r="AC18" s="624"/>
      <c r="AD18" s="624"/>
      <c r="AE18" s="624"/>
      <c r="AF18" s="624"/>
      <c r="AG18" s="624"/>
      <c r="AH18" s="623"/>
      <c r="AI18" s="624"/>
      <c r="AJ18" s="623"/>
      <c r="AK18" s="623"/>
      <c r="AL18" s="623">
        <f t="shared" si="4"/>
        <v>2</v>
      </c>
    </row>
    <row r="19" spans="1:38" ht="25.5">
      <c r="A19" s="1065"/>
      <c r="B19" s="1068"/>
      <c r="C19" s="683" t="s">
        <v>825</v>
      </c>
      <c r="D19" s="739" t="s">
        <v>936</v>
      </c>
      <c r="E19" s="739" t="s">
        <v>941</v>
      </c>
      <c r="F19" s="739">
        <v>1</v>
      </c>
      <c r="G19" s="739">
        <v>2</v>
      </c>
      <c r="H19" s="619">
        <f>PCFP!R129</f>
        <v>8725.15</v>
      </c>
      <c r="I19" s="619">
        <f>H19*G19</f>
        <v>17450.3</v>
      </c>
      <c r="J19" s="630">
        <f t="shared" si="2"/>
        <v>209403.59999999998</v>
      </c>
      <c r="K19" s="619">
        <f t="shared" si="3"/>
        <v>698012</v>
      </c>
      <c r="L19" s="618"/>
      <c r="M19" s="618"/>
      <c r="N19" s="618"/>
      <c r="O19" s="618"/>
      <c r="P19" s="618"/>
      <c r="R19" s="586"/>
      <c r="S19" s="586"/>
      <c r="T19" s="586"/>
      <c r="U19" s="616"/>
      <c r="V19" s="616"/>
      <c r="W19" s="616"/>
      <c r="X19" s="616"/>
      <c r="Y19" s="617"/>
      <c r="Z19" s="616"/>
      <c r="AA19" s="616"/>
      <c r="AB19" s="616"/>
      <c r="AC19" s="617"/>
      <c r="AD19" s="617"/>
      <c r="AE19" s="617"/>
      <c r="AF19" s="617"/>
      <c r="AG19" s="617"/>
      <c r="AH19" s="616"/>
      <c r="AI19" s="617"/>
      <c r="AJ19" s="616"/>
      <c r="AK19" s="616"/>
      <c r="AL19" s="616"/>
    </row>
    <row r="20" spans="1:38" s="626" customFormat="1" ht="25.5">
      <c r="A20" s="1065"/>
      <c r="B20" s="1068"/>
      <c r="C20" s="683" t="s">
        <v>825</v>
      </c>
      <c r="D20" s="739" t="s">
        <v>936</v>
      </c>
      <c r="E20" s="739" t="s">
        <v>942</v>
      </c>
      <c r="F20" s="739">
        <v>1</v>
      </c>
      <c r="G20" s="739">
        <v>2</v>
      </c>
      <c r="H20" s="619">
        <f>PCFP!S129</f>
        <v>9520.81</v>
      </c>
      <c r="I20" s="619">
        <f t="shared" si="1"/>
        <v>19041.62</v>
      </c>
      <c r="J20" s="630">
        <f t="shared" si="2"/>
        <v>228499.44</v>
      </c>
      <c r="K20" s="619">
        <f t="shared" si="3"/>
        <v>761664.79999999993</v>
      </c>
      <c r="L20" s="625"/>
      <c r="M20" s="625"/>
      <c r="N20" s="625"/>
      <c r="O20" s="625"/>
      <c r="P20" s="625"/>
      <c r="R20" s="621">
        <v>11</v>
      </c>
      <c r="S20" s="621" t="s">
        <v>30</v>
      </c>
      <c r="T20" s="627" t="s">
        <v>943</v>
      </c>
      <c r="U20" s="623">
        <v>2</v>
      </c>
      <c r="V20" s="623"/>
      <c r="W20" s="623"/>
      <c r="X20" s="623"/>
      <c r="Y20" s="623"/>
      <c r="Z20" s="623"/>
      <c r="AA20" s="623"/>
      <c r="AB20" s="623"/>
      <c r="AC20" s="623"/>
      <c r="AD20" s="623"/>
      <c r="AE20" s="623"/>
      <c r="AF20" s="623"/>
      <c r="AG20" s="623"/>
      <c r="AH20" s="623"/>
      <c r="AI20" s="623"/>
      <c r="AJ20" s="623"/>
      <c r="AK20" s="623"/>
      <c r="AL20" s="623">
        <f t="shared" si="4"/>
        <v>2</v>
      </c>
    </row>
    <row r="21" spans="1:38" s="626" customFormat="1" ht="25.5">
      <c r="A21" s="1065"/>
      <c r="B21" s="1068"/>
      <c r="C21" s="748" t="s">
        <v>826</v>
      </c>
      <c r="D21" s="739" t="s">
        <v>944</v>
      </c>
      <c r="E21" s="739" t="s">
        <v>941</v>
      </c>
      <c r="F21" s="739">
        <v>1</v>
      </c>
      <c r="G21" s="739">
        <v>2</v>
      </c>
      <c r="H21" s="619">
        <f>PCFP!T$129</f>
        <v>8725.15</v>
      </c>
      <c r="I21" s="619">
        <f t="shared" si="1"/>
        <v>17450.3</v>
      </c>
      <c r="J21" s="630">
        <f t="shared" si="2"/>
        <v>209403.59999999998</v>
      </c>
      <c r="K21" s="619">
        <f t="shared" si="3"/>
        <v>698012</v>
      </c>
      <c r="L21" s="625"/>
      <c r="M21" s="625"/>
      <c r="N21" s="625"/>
      <c r="O21" s="625"/>
      <c r="P21" s="625"/>
      <c r="R21" s="586">
        <v>13</v>
      </c>
      <c r="S21" s="586" t="s">
        <v>30</v>
      </c>
      <c r="T21" s="586" t="s">
        <v>79</v>
      </c>
      <c r="U21" s="616">
        <v>1</v>
      </c>
      <c r="V21" s="616"/>
      <c r="W21" s="616"/>
      <c r="X21" s="616"/>
      <c r="Y21" s="616"/>
      <c r="Z21" s="616"/>
      <c r="AA21" s="616"/>
      <c r="AB21" s="616"/>
      <c r="AC21" s="616"/>
      <c r="AD21" s="616"/>
      <c r="AE21" s="616"/>
      <c r="AF21" s="616"/>
      <c r="AG21" s="616"/>
      <c r="AH21" s="616"/>
      <c r="AI21" s="616"/>
      <c r="AJ21" s="616"/>
      <c r="AK21" s="616"/>
      <c r="AL21" s="616">
        <f t="shared" si="4"/>
        <v>1</v>
      </c>
    </row>
    <row r="22" spans="1:38" ht="25.5">
      <c r="A22" s="1065"/>
      <c r="B22" s="1068"/>
      <c r="C22" s="748" t="s">
        <v>826</v>
      </c>
      <c r="D22" s="739" t="s">
        <v>944</v>
      </c>
      <c r="E22" s="739" t="s">
        <v>942</v>
      </c>
      <c r="F22" s="739">
        <v>1</v>
      </c>
      <c r="G22" s="739">
        <v>2</v>
      </c>
      <c r="H22" s="619">
        <f>PCFP!U$129</f>
        <v>9520.81</v>
      </c>
      <c r="I22" s="619">
        <f t="shared" si="1"/>
        <v>19041.62</v>
      </c>
      <c r="J22" s="630">
        <f t="shared" si="2"/>
        <v>228499.44</v>
      </c>
      <c r="K22" s="619">
        <f t="shared" si="3"/>
        <v>761664.79999999993</v>
      </c>
      <c r="L22" s="618"/>
      <c r="M22" s="618"/>
      <c r="N22" s="618"/>
      <c r="O22" s="618"/>
      <c r="P22" s="618"/>
      <c r="R22" s="586">
        <v>14</v>
      </c>
      <c r="S22" s="586" t="s">
        <v>30</v>
      </c>
      <c r="T22" s="586" t="s">
        <v>82</v>
      </c>
      <c r="U22" s="616">
        <v>2</v>
      </c>
      <c r="V22" s="616"/>
      <c r="W22" s="616"/>
      <c r="X22" s="616"/>
      <c r="Y22" s="616"/>
      <c r="Z22" s="616"/>
      <c r="AA22" s="616"/>
      <c r="AB22" s="616"/>
      <c r="AC22" s="616"/>
      <c r="AD22" s="616"/>
      <c r="AE22" s="616"/>
      <c r="AF22" s="616"/>
      <c r="AG22" s="616"/>
      <c r="AH22" s="616"/>
      <c r="AI22" s="616"/>
      <c r="AJ22" s="616"/>
      <c r="AK22" s="616"/>
      <c r="AL22" s="616">
        <f t="shared" si="4"/>
        <v>2</v>
      </c>
    </row>
    <row r="23" spans="1:38" ht="25.5">
      <c r="A23" s="1065"/>
      <c r="B23" s="1068"/>
      <c r="C23" s="683" t="s">
        <v>821</v>
      </c>
      <c r="D23" s="740" t="s">
        <v>945</v>
      </c>
      <c r="E23" s="739" t="s">
        <v>934</v>
      </c>
      <c r="F23" s="739">
        <v>1</v>
      </c>
      <c r="G23" s="739">
        <v>1</v>
      </c>
      <c r="H23" s="619">
        <f>PCFP!V$129</f>
        <v>9020.08</v>
      </c>
      <c r="I23" s="619">
        <f t="shared" si="1"/>
        <v>9020.08</v>
      </c>
      <c r="J23" s="630">
        <f t="shared" si="2"/>
        <v>108240.95999999999</v>
      </c>
      <c r="K23" s="619">
        <f t="shared" si="3"/>
        <v>360803.2</v>
      </c>
      <c r="L23" s="618"/>
      <c r="M23" s="618"/>
      <c r="N23" s="618"/>
      <c r="O23" s="618"/>
      <c r="P23" s="618"/>
      <c r="R23" s="586">
        <v>15</v>
      </c>
      <c r="S23" s="586" t="s">
        <v>30</v>
      </c>
      <c r="T23" s="586" t="s">
        <v>85</v>
      </c>
      <c r="U23" s="616">
        <v>1</v>
      </c>
      <c r="V23" s="616"/>
      <c r="W23" s="616"/>
      <c r="X23" s="616"/>
      <c r="Y23" s="616"/>
      <c r="Z23" s="616"/>
      <c r="AA23" s="616"/>
      <c r="AB23" s="616"/>
      <c r="AC23" s="616"/>
      <c r="AD23" s="616"/>
      <c r="AE23" s="616"/>
      <c r="AF23" s="616"/>
      <c r="AG23" s="616"/>
      <c r="AH23" s="616"/>
      <c r="AI23" s="616"/>
      <c r="AJ23" s="616"/>
      <c r="AK23" s="616"/>
      <c r="AL23" s="616">
        <f t="shared" si="4"/>
        <v>1</v>
      </c>
    </row>
    <row r="24" spans="1:38" s="636" customFormat="1" ht="25.5">
      <c r="A24" s="1065"/>
      <c r="B24" s="1068"/>
      <c r="C24" s="683" t="s">
        <v>822</v>
      </c>
      <c r="D24" s="741" t="s">
        <v>946</v>
      </c>
      <c r="E24" s="737" t="s">
        <v>934</v>
      </c>
      <c r="F24" s="737">
        <v>2</v>
      </c>
      <c r="G24" s="737">
        <v>2</v>
      </c>
      <c r="H24" s="707">
        <f>PCFP!W$129</f>
        <v>9020.08</v>
      </c>
      <c r="I24" s="707">
        <f t="shared" si="1"/>
        <v>18040.16</v>
      </c>
      <c r="J24" s="630">
        <f t="shared" si="2"/>
        <v>216481.91999999998</v>
      </c>
      <c r="K24" s="619">
        <f t="shared" si="3"/>
        <v>721606.4</v>
      </c>
      <c r="R24" s="635">
        <v>16</v>
      </c>
      <c r="S24" s="635" t="s">
        <v>30</v>
      </c>
      <c r="T24" s="635" t="s">
        <v>947</v>
      </c>
      <c r="U24" s="637">
        <v>2</v>
      </c>
      <c r="V24" s="637"/>
      <c r="W24" s="637"/>
      <c r="X24" s="637"/>
      <c r="Y24" s="637"/>
      <c r="Z24" s="637"/>
      <c r="AA24" s="637"/>
      <c r="AB24" s="637"/>
      <c r="AC24" s="637"/>
      <c r="AD24" s="637"/>
      <c r="AE24" s="637"/>
      <c r="AF24" s="637"/>
      <c r="AG24" s="637"/>
      <c r="AH24" s="637"/>
      <c r="AI24" s="637"/>
      <c r="AJ24" s="637"/>
      <c r="AK24" s="637"/>
      <c r="AL24" s="637">
        <f t="shared" si="4"/>
        <v>2</v>
      </c>
    </row>
    <row r="25" spans="1:38" ht="25.5">
      <c r="A25" s="1065"/>
      <c r="B25" s="1068"/>
      <c r="C25" s="683" t="s">
        <v>823</v>
      </c>
      <c r="D25" s="740" t="s">
        <v>948</v>
      </c>
      <c r="E25" s="739" t="s">
        <v>934</v>
      </c>
      <c r="F25" s="739">
        <v>1</v>
      </c>
      <c r="G25" s="739">
        <v>1</v>
      </c>
      <c r="H25" s="619">
        <f>PCFP!X$129</f>
        <v>9020.08</v>
      </c>
      <c r="I25" s="619">
        <f t="shared" si="1"/>
        <v>9020.08</v>
      </c>
      <c r="J25" s="630">
        <f t="shared" si="2"/>
        <v>108240.95999999999</v>
      </c>
      <c r="K25" s="619">
        <f t="shared" si="3"/>
        <v>360803.2</v>
      </c>
      <c r="L25" s="618"/>
      <c r="M25" s="618"/>
      <c r="N25" s="618"/>
      <c r="O25" s="618"/>
      <c r="P25" s="618"/>
      <c r="R25" s="586">
        <v>17</v>
      </c>
      <c r="S25" s="586" t="s">
        <v>30</v>
      </c>
      <c r="T25" s="586" t="s">
        <v>949</v>
      </c>
      <c r="U25" s="616">
        <v>2</v>
      </c>
      <c r="V25" s="616"/>
      <c r="W25" s="616"/>
      <c r="X25" s="616"/>
      <c r="Y25" s="616"/>
      <c r="Z25" s="616"/>
      <c r="AA25" s="616"/>
      <c r="AB25" s="616"/>
      <c r="AC25" s="616"/>
      <c r="AD25" s="616"/>
      <c r="AE25" s="616"/>
      <c r="AF25" s="616"/>
      <c r="AG25" s="616"/>
      <c r="AH25" s="616"/>
      <c r="AI25" s="616"/>
      <c r="AJ25" s="616"/>
      <c r="AK25" s="616"/>
      <c r="AL25" s="616">
        <f t="shared" si="4"/>
        <v>2</v>
      </c>
    </row>
    <row r="26" spans="1:38" s="636" customFormat="1" ht="27.75" customHeight="1">
      <c r="A26" s="1065"/>
      <c r="B26" s="1068"/>
      <c r="C26" s="683" t="s">
        <v>824</v>
      </c>
      <c r="D26" s="742" t="s">
        <v>950</v>
      </c>
      <c r="E26" s="737" t="s">
        <v>932</v>
      </c>
      <c r="F26" s="737">
        <v>1</v>
      </c>
      <c r="G26" s="737">
        <v>1</v>
      </c>
      <c r="H26" s="707">
        <f>PCFP!Y$129</f>
        <v>7774.88</v>
      </c>
      <c r="I26" s="707">
        <f t="shared" si="1"/>
        <v>7774.88</v>
      </c>
      <c r="J26" s="630">
        <f t="shared" si="2"/>
        <v>93298.559999999998</v>
      </c>
      <c r="K26" s="619">
        <f t="shared" si="3"/>
        <v>310995.20000000001</v>
      </c>
      <c r="R26" s="635">
        <v>18</v>
      </c>
      <c r="S26" s="635" t="s">
        <v>98</v>
      </c>
      <c r="T26" s="635" t="s">
        <v>48</v>
      </c>
      <c r="U26" s="637"/>
      <c r="V26" s="637"/>
      <c r="W26" s="637"/>
      <c r="X26" s="637"/>
      <c r="Y26" s="637"/>
      <c r="Z26" s="637"/>
      <c r="AA26" s="637"/>
      <c r="AB26" s="637"/>
      <c r="AC26" s="637"/>
      <c r="AD26" s="637"/>
      <c r="AE26" s="637"/>
      <c r="AF26" s="637"/>
      <c r="AG26" s="637"/>
      <c r="AH26" s="637"/>
      <c r="AI26" s="637"/>
      <c r="AJ26" s="637"/>
      <c r="AK26" s="637"/>
      <c r="AL26" s="637">
        <f t="shared" si="4"/>
        <v>0</v>
      </c>
    </row>
    <row r="27" spans="1:38" s="636" customFormat="1" ht="25.5">
      <c r="A27" s="1065"/>
      <c r="B27" s="1069"/>
      <c r="C27" s="683" t="s">
        <v>183</v>
      </c>
      <c r="D27" s="742" t="s">
        <v>951</v>
      </c>
      <c r="E27" s="737" t="s">
        <v>941</v>
      </c>
      <c r="F27" s="737">
        <v>1</v>
      </c>
      <c r="G27" s="737">
        <v>2</v>
      </c>
      <c r="H27" s="707">
        <f>PCFP!Z$129</f>
        <v>9076.9500000000007</v>
      </c>
      <c r="I27" s="707">
        <f t="shared" si="1"/>
        <v>18153.900000000001</v>
      </c>
      <c r="J27" s="708">
        <f t="shared" si="2"/>
        <v>217846.80000000002</v>
      </c>
      <c r="K27" s="707">
        <f t="shared" si="3"/>
        <v>726156</v>
      </c>
      <c r="R27" s="635">
        <v>19</v>
      </c>
      <c r="S27" s="635" t="s">
        <v>98</v>
      </c>
      <c r="T27" s="635" t="s">
        <v>56</v>
      </c>
      <c r="U27" s="637"/>
      <c r="V27" s="637"/>
      <c r="W27" s="637"/>
      <c r="X27" s="637"/>
      <c r="Y27" s="637"/>
      <c r="Z27" s="637"/>
      <c r="AA27" s="637"/>
      <c r="AB27" s="637"/>
      <c r="AC27" s="637"/>
      <c r="AD27" s="637"/>
      <c r="AE27" s="637"/>
      <c r="AF27" s="637"/>
      <c r="AG27" s="637"/>
      <c r="AH27" s="637"/>
      <c r="AI27" s="637"/>
      <c r="AJ27" s="637"/>
      <c r="AK27" s="637"/>
      <c r="AL27" s="637">
        <f t="shared" si="4"/>
        <v>0</v>
      </c>
    </row>
    <row r="28" spans="1:38" ht="25.5">
      <c r="A28" s="1065"/>
      <c r="B28" s="621" t="s">
        <v>98</v>
      </c>
      <c r="C28" s="683" t="s">
        <v>825</v>
      </c>
      <c r="D28" s="742" t="s">
        <v>936</v>
      </c>
      <c r="E28" s="739" t="s">
        <v>934</v>
      </c>
      <c r="F28" s="739">
        <v>1</v>
      </c>
      <c r="G28" s="739">
        <v>1</v>
      </c>
      <c r="H28" s="619">
        <f>PCFP!AA$129</f>
        <v>9020.08</v>
      </c>
      <c r="I28" s="619">
        <f t="shared" si="1"/>
        <v>9020.08</v>
      </c>
      <c r="J28" s="630">
        <f t="shared" ref="J28:J47" si="5">H28*12</f>
        <v>108240.95999999999</v>
      </c>
      <c r="K28" s="619">
        <f t="shared" si="3"/>
        <v>360803.2</v>
      </c>
      <c r="L28" s="618"/>
      <c r="M28" s="618"/>
      <c r="N28" s="618"/>
      <c r="O28" s="618"/>
      <c r="P28" s="618"/>
      <c r="R28" s="628">
        <v>20</v>
      </c>
      <c r="S28" s="628" t="s">
        <v>102</v>
      </c>
      <c r="T28" s="586" t="s">
        <v>48</v>
      </c>
      <c r="U28" s="616"/>
      <c r="V28" s="616"/>
      <c r="W28" s="616"/>
      <c r="X28" s="616"/>
      <c r="Y28" s="616"/>
      <c r="Z28" s="616"/>
      <c r="AA28" s="616"/>
      <c r="AB28" s="616"/>
      <c r="AC28" s="616"/>
      <c r="AD28" s="616"/>
      <c r="AE28" s="616"/>
      <c r="AF28" s="616"/>
      <c r="AG28" s="616"/>
      <c r="AH28" s="616"/>
      <c r="AI28" s="616"/>
      <c r="AJ28" s="616"/>
      <c r="AK28" s="616"/>
      <c r="AL28" s="616">
        <f t="shared" si="4"/>
        <v>0</v>
      </c>
    </row>
    <row r="29" spans="1:38" ht="25.5">
      <c r="A29" s="1065"/>
      <c r="B29" s="621" t="s">
        <v>100</v>
      </c>
      <c r="C29" s="683" t="s">
        <v>825</v>
      </c>
      <c r="D29" s="742" t="s">
        <v>938</v>
      </c>
      <c r="E29" s="739" t="s">
        <v>934</v>
      </c>
      <c r="F29" s="739">
        <v>1</v>
      </c>
      <c r="G29" s="739">
        <v>1</v>
      </c>
      <c r="H29" s="619">
        <f>PCFP!AB$129</f>
        <v>7359.15</v>
      </c>
      <c r="I29" s="619">
        <f t="shared" si="1"/>
        <v>7359.15</v>
      </c>
      <c r="J29" s="630">
        <f t="shared" si="5"/>
        <v>88309.799999999988</v>
      </c>
      <c r="K29" s="619">
        <f t="shared" si="3"/>
        <v>294366</v>
      </c>
      <c r="L29" s="618"/>
      <c r="M29" s="618"/>
      <c r="N29" s="618"/>
      <c r="O29" s="618"/>
      <c r="P29" s="618"/>
      <c r="R29" s="586">
        <v>21</v>
      </c>
      <c r="S29" s="586" t="s">
        <v>109</v>
      </c>
      <c r="T29" s="586" t="s">
        <v>48</v>
      </c>
      <c r="U29" s="616"/>
      <c r="V29" s="616"/>
      <c r="W29" s="616"/>
      <c r="X29" s="616"/>
      <c r="Y29" s="616"/>
      <c r="Z29" s="616"/>
      <c r="AA29" s="616"/>
      <c r="AB29" s="616"/>
      <c r="AC29" s="616"/>
      <c r="AD29" s="616"/>
      <c r="AE29" s="616"/>
      <c r="AF29" s="616"/>
      <c r="AG29" s="616"/>
      <c r="AH29" s="616"/>
      <c r="AI29" s="616"/>
      <c r="AJ29" s="616"/>
      <c r="AK29" s="616"/>
      <c r="AL29" s="616">
        <f t="shared" si="4"/>
        <v>0</v>
      </c>
    </row>
    <row r="30" spans="1:38" ht="25.5">
      <c r="A30" s="1065"/>
      <c r="B30" s="621" t="s">
        <v>100</v>
      </c>
      <c r="C30" s="683" t="s">
        <v>824</v>
      </c>
      <c r="D30" s="742" t="s">
        <v>950</v>
      </c>
      <c r="E30" s="737" t="s">
        <v>932</v>
      </c>
      <c r="F30" s="737">
        <v>1</v>
      </c>
      <c r="G30" s="737">
        <v>1</v>
      </c>
      <c r="H30" s="707">
        <f>PCFP!AC$129</f>
        <v>6409.88</v>
      </c>
      <c r="I30" s="707">
        <f t="shared" ref="I30" si="6">H30*G30</f>
        <v>6409.88</v>
      </c>
      <c r="J30" s="630">
        <f>H30*12</f>
        <v>76918.559999999998</v>
      </c>
      <c r="K30" s="619">
        <f t="shared" ref="K30" si="7">I30*40</f>
        <v>256395.2</v>
      </c>
      <c r="L30" s="618"/>
      <c r="M30" s="618"/>
      <c r="N30" s="618"/>
      <c r="O30" s="618"/>
      <c r="P30" s="618"/>
      <c r="R30" s="586"/>
      <c r="S30" s="586"/>
      <c r="T30" s="586"/>
      <c r="U30" s="616"/>
      <c r="V30" s="616"/>
      <c r="W30" s="616"/>
      <c r="X30" s="616"/>
      <c r="Y30" s="616"/>
      <c r="Z30" s="616"/>
      <c r="AA30" s="616"/>
      <c r="AB30" s="616"/>
      <c r="AC30" s="616"/>
      <c r="AD30" s="616"/>
      <c r="AE30" s="616"/>
      <c r="AF30" s="616"/>
      <c r="AG30" s="616"/>
      <c r="AH30" s="616"/>
      <c r="AI30" s="616"/>
      <c r="AJ30" s="616"/>
      <c r="AK30" s="616"/>
      <c r="AL30" s="616"/>
    </row>
    <row r="31" spans="1:38" ht="25.5">
      <c r="A31" s="1065"/>
      <c r="B31" s="743" t="s">
        <v>102</v>
      </c>
      <c r="C31" s="683" t="s">
        <v>825</v>
      </c>
      <c r="D31" s="742" t="s">
        <v>936</v>
      </c>
      <c r="E31" s="739" t="s">
        <v>934</v>
      </c>
      <c r="F31" s="739">
        <v>1</v>
      </c>
      <c r="G31" s="739">
        <v>1</v>
      </c>
      <c r="H31" s="619">
        <f>PCFP!AD$129</f>
        <v>9108.73</v>
      </c>
      <c r="I31" s="619">
        <f t="shared" si="1"/>
        <v>9108.73</v>
      </c>
      <c r="J31" s="630">
        <f t="shared" si="5"/>
        <v>109304.76</v>
      </c>
      <c r="K31" s="619">
        <f t="shared" si="3"/>
        <v>364349.19999999995</v>
      </c>
      <c r="L31" s="618"/>
      <c r="M31" s="618"/>
      <c r="N31" s="618"/>
      <c r="O31" s="618"/>
      <c r="P31" s="618"/>
      <c r="R31" s="628">
        <v>22</v>
      </c>
      <c r="S31" s="628" t="s">
        <v>112</v>
      </c>
      <c r="T31" s="586" t="s">
        <v>48</v>
      </c>
      <c r="U31" s="616"/>
      <c r="V31" s="616"/>
      <c r="W31" s="616"/>
      <c r="X31" s="616"/>
      <c r="Y31" s="616"/>
      <c r="Z31" s="616"/>
      <c r="AA31" s="616"/>
      <c r="AB31" s="616"/>
      <c r="AC31" s="616"/>
      <c r="AD31" s="616"/>
      <c r="AE31" s="616"/>
      <c r="AF31" s="616"/>
      <c r="AG31" s="616"/>
      <c r="AH31" s="616"/>
      <c r="AI31" s="616"/>
      <c r="AJ31" s="616"/>
      <c r="AK31" s="616"/>
      <c r="AL31" s="616">
        <f t="shared" si="4"/>
        <v>0</v>
      </c>
    </row>
    <row r="32" spans="1:38" ht="25.5">
      <c r="A32" s="1065"/>
      <c r="B32" s="621" t="s">
        <v>109</v>
      </c>
      <c r="C32" s="683" t="s">
        <v>825</v>
      </c>
      <c r="D32" s="742" t="s">
        <v>936</v>
      </c>
      <c r="E32" s="739" t="s">
        <v>934</v>
      </c>
      <c r="F32" s="739">
        <v>1</v>
      </c>
      <c r="G32" s="739">
        <v>1</v>
      </c>
      <c r="H32" s="619">
        <f>PCFP!AE$129</f>
        <v>8968</v>
      </c>
      <c r="I32" s="619">
        <f t="shared" si="1"/>
        <v>8968</v>
      </c>
      <c r="J32" s="630">
        <f t="shared" si="5"/>
        <v>107616</v>
      </c>
      <c r="K32" s="619">
        <f t="shared" si="3"/>
        <v>358720</v>
      </c>
      <c r="L32" s="618"/>
      <c r="M32" s="618"/>
      <c r="N32" s="618"/>
      <c r="O32" s="618"/>
      <c r="P32" s="618"/>
      <c r="R32" s="586">
        <v>23</v>
      </c>
      <c r="S32" s="628" t="s">
        <v>115</v>
      </c>
      <c r="T32" s="586" t="s">
        <v>63</v>
      </c>
      <c r="U32" s="616">
        <v>2</v>
      </c>
      <c r="V32" s="616"/>
      <c r="W32" s="616"/>
      <c r="X32" s="616"/>
      <c r="Y32" s="616"/>
      <c r="Z32" s="616"/>
      <c r="AA32" s="616"/>
      <c r="AB32" s="616"/>
      <c r="AC32" s="616"/>
      <c r="AD32" s="616"/>
      <c r="AE32" s="616"/>
      <c r="AF32" s="616"/>
      <c r="AG32" s="616"/>
      <c r="AH32" s="616"/>
      <c r="AI32" s="616"/>
      <c r="AJ32" s="616"/>
      <c r="AK32" s="616"/>
      <c r="AL32" s="616"/>
    </row>
    <row r="33" spans="1:38" ht="25.5">
      <c r="A33" s="1065"/>
      <c r="B33" s="743" t="s">
        <v>112</v>
      </c>
      <c r="C33" s="683" t="s">
        <v>825</v>
      </c>
      <c r="D33" s="742" t="s">
        <v>936</v>
      </c>
      <c r="E33" s="739" t="s">
        <v>934</v>
      </c>
      <c r="F33" s="739">
        <v>1</v>
      </c>
      <c r="G33" s="739">
        <v>1</v>
      </c>
      <c r="H33" s="619">
        <f>PCFP!AF$129</f>
        <v>8879.1299999999992</v>
      </c>
      <c r="I33" s="619">
        <f t="shared" si="1"/>
        <v>8879.1299999999992</v>
      </c>
      <c r="J33" s="630">
        <f t="shared" si="5"/>
        <v>106549.56</v>
      </c>
      <c r="K33" s="619">
        <f t="shared" si="3"/>
        <v>355165.19999999995</v>
      </c>
      <c r="L33" s="618"/>
      <c r="M33" s="618"/>
      <c r="N33" s="618"/>
      <c r="O33" s="618"/>
      <c r="P33" s="618"/>
      <c r="R33" s="628">
        <v>24</v>
      </c>
      <c r="S33" s="628" t="s">
        <v>115</v>
      </c>
      <c r="T33" s="586" t="s">
        <v>48</v>
      </c>
      <c r="U33" s="616"/>
      <c r="V33" s="616"/>
      <c r="W33" s="616"/>
      <c r="X33" s="616"/>
      <c r="Y33" s="616"/>
      <c r="Z33" s="616"/>
      <c r="AA33" s="616"/>
      <c r="AB33" s="616"/>
      <c r="AC33" s="616"/>
      <c r="AD33" s="616"/>
      <c r="AE33" s="616"/>
      <c r="AF33" s="616"/>
      <c r="AG33" s="616"/>
      <c r="AH33" s="616"/>
      <c r="AI33" s="616"/>
      <c r="AJ33" s="616"/>
      <c r="AK33" s="616"/>
      <c r="AL33" s="616">
        <f t="shared" si="4"/>
        <v>0</v>
      </c>
    </row>
    <row r="34" spans="1:38" ht="25.5">
      <c r="A34" s="1065"/>
      <c r="B34" s="1070" t="s">
        <v>115</v>
      </c>
      <c r="C34" s="748" t="s">
        <v>826</v>
      </c>
      <c r="D34" s="739" t="s">
        <v>944</v>
      </c>
      <c r="E34" s="739" t="s">
        <v>934</v>
      </c>
      <c r="F34" s="739">
        <v>1</v>
      </c>
      <c r="G34" s="739">
        <v>1</v>
      </c>
      <c r="H34" s="619">
        <f>PCFP!AG$129</f>
        <v>9246.44</v>
      </c>
      <c r="I34" s="619">
        <f t="shared" si="1"/>
        <v>9246.44</v>
      </c>
      <c r="J34" s="630">
        <f t="shared" si="5"/>
        <v>110957.28</v>
      </c>
      <c r="K34" s="619">
        <f t="shared" si="3"/>
        <v>369857.60000000003</v>
      </c>
      <c r="L34" s="618"/>
      <c r="M34" s="618"/>
      <c r="N34" s="618"/>
      <c r="O34" s="618"/>
      <c r="P34" s="618"/>
      <c r="R34" s="586">
        <v>25</v>
      </c>
      <c r="S34" s="628" t="s">
        <v>115</v>
      </c>
      <c r="T34" s="628" t="s">
        <v>56</v>
      </c>
      <c r="U34" s="616"/>
      <c r="V34" s="616"/>
      <c r="W34" s="616"/>
      <c r="X34" s="616"/>
      <c r="Y34" s="616"/>
      <c r="Z34" s="616"/>
      <c r="AA34" s="616"/>
      <c r="AB34" s="616"/>
      <c r="AC34" s="616"/>
      <c r="AD34" s="616"/>
      <c r="AE34" s="616"/>
      <c r="AF34" s="616"/>
      <c r="AG34" s="616"/>
      <c r="AH34" s="616"/>
      <c r="AI34" s="616"/>
      <c r="AJ34" s="616"/>
      <c r="AK34" s="616"/>
      <c r="AL34" s="616">
        <f t="shared" si="4"/>
        <v>0</v>
      </c>
    </row>
    <row r="35" spans="1:38" ht="25.5">
      <c r="A35" s="1065"/>
      <c r="B35" s="1071"/>
      <c r="C35" s="683" t="s">
        <v>825</v>
      </c>
      <c r="D35" s="742" t="s">
        <v>936</v>
      </c>
      <c r="E35" s="739" t="s">
        <v>934</v>
      </c>
      <c r="F35" s="739">
        <v>1</v>
      </c>
      <c r="G35" s="739">
        <v>1</v>
      </c>
      <c r="H35" s="619">
        <f>PCFP!AH$129</f>
        <v>9246.44</v>
      </c>
      <c r="I35" s="619">
        <f t="shared" si="1"/>
        <v>9246.44</v>
      </c>
      <c r="J35" s="630">
        <f t="shared" si="5"/>
        <v>110957.28</v>
      </c>
      <c r="K35" s="619">
        <f t="shared" si="3"/>
        <v>369857.60000000003</v>
      </c>
      <c r="L35" s="618"/>
      <c r="M35" s="618"/>
      <c r="N35" s="618"/>
      <c r="O35" s="618"/>
      <c r="P35" s="618"/>
      <c r="R35" s="628">
        <v>26</v>
      </c>
      <c r="S35" s="628" t="s">
        <v>119</v>
      </c>
      <c r="T35" s="586" t="s">
        <v>48</v>
      </c>
      <c r="U35" s="616"/>
      <c r="V35" s="616"/>
      <c r="W35" s="616"/>
      <c r="X35" s="616"/>
      <c r="Y35" s="616"/>
      <c r="Z35" s="616"/>
      <c r="AA35" s="616"/>
      <c r="AB35" s="616"/>
      <c r="AC35" s="616"/>
      <c r="AD35" s="616"/>
      <c r="AE35" s="616"/>
      <c r="AF35" s="616"/>
      <c r="AG35" s="616"/>
      <c r="AH35" s="616"/>
      <c r="AI35" s="616"/>
      <c r="AJ35" s="616"/>
      <c r="AK35" s="616"/>
      <c r="AL35" s="616">
        <f t="shared" si="4"/>
        <v>0</v>
      </c>
    </row>
    <row r="36" spans="1:38" ht="25.5">
      <c r="A36" s="1065"/>
      <c r="B36" s="743" t="s">
        <v>119</v>
      </c>
      <c r="C36" s="683" t="s">
        <v>825</v>
      </c>
      <c r="D36" s="742" t="s">
        <v>936</v>
      </c>
      <c r="E36" s="739" t="s">
        <v>934</v>
      </c>
      <c r="F36" s="739">
        <v>1</v>
      </c>
      <c r="G36" s="739">
        <v>1</v>
      </c>
      <c r="H36" s="619">
        <f>PCFP!AI$129</f>
        <v>9158.27</v>
      </c>
      <c r="I36" s="619">
        <f t="shared" si="1"/>
        <v>9158.27</v>
      </c>
      <c r="J36" s="630">
        <f t="shared" si="5"/>
        <v>109899.24</v>
      </c>
      <c r="K36" s="619">
        <f t="shared" si="3"/>
        <v>366330.80000000005</v>
      </c>
      <c r="L36" s="618"/>
      <c r="M36" s="618"/>
      <c r="N36" s="618"/>
      <c r="O36" s="618"/>
      <c r="P36" s="618"/>
      <c r="R36" s="628">
        <v>28</v>
      </c>
      <c r="S36" s="586" t="s">
        <v>125</v>
      </c>
      <c r="T36" s="586" t="s">
        <v>48</v>
      </c>
      <c r="U36" s="616"/>
      <c r="V36" s="616"/>
      <c r="W36" s="616"/>
      <c r="X36" s="616"/>
      <c r="Y36" s="616"/>
      <c r="Z36" s="616"/>
      <c r="AA36" s="616"/>
      <c r="AB36" s="616"/>
      <c r="AC36" s="616"/>
      <c r="AD36" s="616"/>
      <c r="AE36" s="616"/>
      <c r="AF36" s="616"/>
      <c r="AG36" s="616"/>
      <c r="AH36" s="616"/>
      <c r="AI36" s="616"/>
      <c r="AJ36" s="616"/>
      <c r="AK36" s="616"/>
      <c r="AL36" s="616">
        <f t="shared" si="4"/>
        <v>0</v>
      </c>
    </row>
    <row r="37" spans="1:38" ht="25.5">
      <c r="A37" s="1065"/>
      <c r="B37" s="743" t="s">
        <v>122</v>
      </c>
      <c r="C37" s="683" t="s">
        <v>825</v>
      </c>
      <c r="D37" s="742" t="s">
        <v>936</v>
      </c>
      <c r="E37" s="739" t="s">
        <v>934</v>
      </c>
      <c r="F37" s="739">
        <v>1</v>
      </c>
      <c r="G37" s="739">
        <v>1</v>
      </c>
      <c r="H37" s="619">
        <f>PCFP!AJ$129</f>
        <v>9029.5400000000009</v>
      </c>
      <c r="I37" s="619">
        <f t="shared" si="1"/>
        <v>9029.5400000000009</v>
      </c>
      <c r="J37" s="630">
        <f t="shared" si="5"/>
        <v>108354.48000000001</v>
      </c>
      <c r="K37" s="619">
        <f t="shared" si="3"/>
        <v>361181.60000000003</v>
      </c>
      <c r="L37" s="618"/>
      <c r="M37" s="618"/>
      <c r="N37" s="618"/>
      <c r="O37" s="618"/>
      <c r="P37" s="618"/>
      <c r="R37" s="586">
        <v>29</v>
      </c>
      <c r="S37" s="586" t="s">
        <v>128</v>
      </c>
      <c r="T37" s="586" t="s">
        <v>48</v>
      </c>
      <c r="U37" s="616"/>
      <c r="V37" s="616"/>
      <c r="W37" s="616"/>
      <c r="X37" s="616"/>
      <c r="Y37" s="616"/>
      <c r="Z37" s="616"/>
      <c r="AA37" s="616"/>
      <c r="AB37" s="616"/>
      <c r="AC37" s="616"/>
      <c r="AD37" s="616"/>
      <c r="AE37" s="616"/>
      <c r="AF37" s="616"/>
      <c r="AG37" s="616"/>
      <c r="AH37" s="616"/>
      <c r="AI37" s="616"/>
      <c r="AJ37" s="616"/>
      <c r="AK37" s="616"/>
      <c r="AL37" s="616">
        <f t="shared" si="4"/>
        <v>0</v>
      </c>
    </row>
    <row r="38" spans="1:38" ht="25.5">
      <c r="A38" s="1065"/>
      <c r="B38" s="621" t="s">
        <v>125</v>
      </c>
      <c r="C38" s="683" t="s">
        <v>825</v>
      </c>
      <c r="D38" s="742" t="s">
        <v>936</v>
      </c>
      <c r="E38" s="739" t="s">
        <v>934</v>
      </c>
      <c r="F38" s="739">
        <v>1</v>
      </c>
      <c r="G38" s="739">
        <v>1</v>
      </c>
      <c r="H38" s="619">
        <f>PCFP!AK$129</f>
        <v>9026.4599999999991</v>
      </c>
      <c r="I38" s="619">
        <f t="shared" si="1"/>
        <v>9026.4599999999991</v>
      </c>
      <c r="J38" s="630">
        <f t="shared" si="5"/>
        <v>108317.51999999999</v>
      </c>
      <c r="K38" s="619">
        <f t="shared" si="3"/>
        <v>361058.39999999997</v>
      </c>
      <c r="L38" s="618"/>
      <c r="M38" s="618"/>
      <c r="N38" s="618"/>
      <c r="O38" s="618"/>
      <c r="P38" s="618"/>
      <c r="R38" s="628">
        <v>30</v>
      </c>
      <c r="S38" s="586" t="s">
        <v>131</v>
      </c>
      <c r="T38" s="586" t="s">
        <v>48</v>
      </c>
      <c r="U38" s="616"/>
      <c r="V38" s="616"/>
      <c r="W38" s="616"/>
      <c r="X38" s="616"/>
      <c r="Y38" s="616"/>
      <c r="Z38" s="616"/>
      <c r="AA38" s="616"/>
      <c r="AB38" s="616"/>
      <c r="AC38" s="616"/>
      <c r="AD38" s="616"/>
      <c r="AE38" s="616"/>
      <c r="AF38" s="616"/>
      <c r="AG38" s="616"/>
      <c r="AH38" s="616"/>
      <c r="AI38" s="616"/>
      <c r="AJ38" s="616"/>
      <c r="AK38" s="616"/>
      <c r="AL38" s="616">
        <f t="shared" si="4"/>
        <v>0</v>
      </c>
    </row>
    <row r="39" spans="1:38" ht="25.5">
      <c r="A39" s="1065"/>
      <c r="B39" s="621" t="s">
        <v>128</v>
      </c>
      <c r="C39" s="683" t="s">
        <v>825</v>
      </c>
      <c r="D39" s="742" t="s">
        <v>936</v>
      </c>
      <c r="E39" s="739" t="s">
        <v>934</v>
      </c>
      <c r="F39" s="739">
        <v>1</v>
      </c>
      <c r="G39" s="739">
        <v>1</v>
      </c>
      <c r="H39" s="619">
        <f>PCFP!AL$129</f>
        <v>9246.44</v>
      </c>
      <c r="I39" s="619">
        <f t="shared" si="1"/>
        <v>9246.44</v>
      </c>
      <c r="J39" s="630">
        <f t="shared" si="5"/>
        <v>110957.28</v>
      </c>
      <c r="K39" s="619">
        <f t="shared" si="3"/>
        <v>369857.60000000003</v>
      </c>
      <c r="L39" s="618"/>
      <c r="M39" s="618"/>
      <c r="N39" s="618"/>
      <c r="O39" s="618"/>
      <c r="P39" s="618"/>
      <c r="R39" s="586">
        <v>31</v>
      </c>
      <c r="S39" s="586" t="s">
        <v>131</v>
      </c>
      <c r="T39" s="586" t="s">
        <v>56</v>
      </c>
      <c r="U39" s="616"/>
      <c r="V39" s="616"/>
      <c r="W39" s="616"/>
      <c r="X39" s="616"/>
      <c r="Y39" s="616"/>
      <c r="Z39" s="616"/>
      <c r="AA39" s="616"/>
      <c r="AB39" s="616"/>
      <c r="AC39" s="616"/>
      <c r="AD39" s="616"/>
      <c r="AE39" s="616"/>
      <c r="AF39" s="616"/>
      <c r="AG39" s="616"/>
      <c r="AH39" s="616"/>
      <c r="AI39" s="616"/>
      <c r="AJ39" s="616"/>
      <c r="AK39" s="616"/>
      <c r="AL39" s="616">
        <f t="shared" si="4"/>
        <v>0</v>
      </c>
    </row>
    <row r="40" spans="1:38" ht="25.5">
      <c r="A40" s="1065"/>
      <c r="B40" s="824" t="s">
        <v>131</v>
      </c>
      <c r="C40" s="683" t="s">
        <v>825</v>
      </c>
      <c r="D40" s="742" t="s">
        <v>936</v>
      </c>
      <c r="E40" s="739" t="s">
        <v>934</v>
      </c>
      <c r="F40" s="739">
        <v>1</v>
      </c>
      <c r="G40" s="739">
        <v>1</v>
      </c>
      <c r="H40" s="619">
        <f>PCFP!AM$129</f>
        <v>9189.77</v>
      </c>
      <c r="I40" s="619">
        <f t="shared" si="1"/>
        <v>9189.77</v>
      </c>
      <c r="J40" s="630">
        <f t="shared" si="5"/>
        <v>110277.24</v>
      </c>
      <c r="K40" s="619">
        <f t="shared" si="3"/>
        <v>367590.80000000005</v>
      </c>
      <c r="L40" s="618"/>
      <c r="M40" s="618"/>
      <c r="N40" s="618"/>
      <c r="O40" s="618"/>
      <c r="P40" s="618"/>
      <c r="R40" s="628">
        <v>32</v>
      </c>
      <c r="S40" s="586" t="s">
        <v>134</v>
      </c>
      <c r="T40" s="586" t="s">
        <v>48</v>
      </c>
      <c r="U40" s="616"/>
      <c r="V40" s="616"/>
      <c r="W40" s="616"/>
      <c r="X40" s="616"/>
      <c r="Y40" s="616"/>
      <c r="Z40" s="616"/>
      <c r="AA40" s="616"/>
      <c r="AB40" s="616"/>
      <c r="AC40" s="616"/>
      <c r="AD40" s="616"/>
      <c r="AE40" s="616"/>
      <c r="AF40" s="616"/>
      <c r="AG40" s="616"/>
      <c r="AH40" s="616"/>
      <c r="AI40" s="616"/>
      <c r="AJ40" s="616"/>
      <c r="AK40" s="616"/>
      <c r="AL40" s="616">
        <f t="shared" si="4"/>
        <v>0</v>
      </c>
    </row>
    <row r="41" spans="1:38" ht="25.5">
      <c r="A41" s="1065"/>
      <c r="B41" s="621" t="s">
        <v>134</v>
      </c>
      <c r="C41" s="683" t="s">
        <v>825</v>
      </c>
      <c r="D41" s="742" t="s">
        <v>936</v>
      </c>
      <c r="E41" s="739" t="s">
        <v>934</v>
      </c>
      <c r="F41" s="739">
        <v>1</v>
      </c>
      <c r="G41" s="739">
        <v>1</v>
      </c>
      <c r="H41" s="619">
        <f>PCFP!AN$129</f>
        <v>8939.9599999999991</v>
      </c>
      <c r="I41" s="619">
        <f t="shared" si="1"/>
        <v>8939.9599999999991</v>
      </c>
      <c r="J41" s="630">
        <f t="shared" si="5"/>
        <v>107279.51999999999</v>
      </c>
      <c r="K41" s="619">
        <f t="shared" si="3"/>
        <v>357598.39999999997</v>
      </c>
      <c r="L41" s="618"/>
      <c r="M41" s="618"/>
      <c r="N41" s="618"/>
      <c r="O41" s="618"/>
      <c r="P41" s="618"/>
      <c r="R41" s="628">
        <v>34</v>
      </c>
      <c r="S41" s="628" t="s">
        <v>140</v>
      </c>
      <c r="T41" s="586" t="s">
        <v>48</v>
      </c>
      <c r="U41" s="616"/>
      <c r="V41" s="616"/>
      <c r="W41" s="616"/>
      <c r="X41" s="616"/>
      <c r="Y41" s="616"/>
      <c r="Z41" s="616"/>
      <c r="AA41" s="616"/>
      <c r="AB41" s="616"/>
      <c r="AC41" s="616"/>
      <c r="AD41" s="616"/>
      <c r="AE41" s="616"/>
      <c r="AF41" s="616"/>
      <c r="AG41" s="616"/>
      <c r="AH41" s="616"/>
      <c r="AI41" s="616"/>
      <c r="AJ41" s="616"/>
      <c r="AK41" s="616"/>
      <c r="AL41" s="616">
        <f t="shared" si="4"/>
        <v>0</v>
      </c>
    </row>
    <row r="42" spans="1:38" ht="25.5">
      <c r="A42" s="1065"/>
      <c r="B42" s="621" t="s">
        <v>137</v>
      </c>
      <c r="C42" s="683" t="s">
        <v>825</v>
      </c>
      <c r="D42" s="742" t="s">
        <v>936</v>
      </c>
      <c r="E42" s="739" t="s">
        <v>934</v>
      </c>
      <c r="F42" s="739">
        <v>1</v>
      </c>
      <c r="G42" s="739">
        <v>1</v>
      </c>
      <c r="H42" s="619">
        <f>PCFP!AO$129</f>
        <v>9284.2199999999993</v>
      </c>
      <c r="I42" s="619">
        <f t="shared" si="1"/>
        <v>9284.2199999999993</v>
      </c>
      <c r="J42" s="630">
        <f t="shared" si="5"/>
        <v>111410.63999999998</v>
      </c>
      <c r="K42" s="619">
        <f t="shared" si="3"/>
        <v>371368.8</v>
      </c>
      <c r="L42" s="618"/>
      <c r="M42" s="618"/>
      <c r="N42" s="618"/>
      <c r="O42" s="618"/>
      <c r="P42" s="618"/>
      <c r="R42" s="586">
        <v>35</v>
      </c>
      <c r="S42" s="586" t="s">
        <v>143</v>
      </c>
      <c r="T42" s="586" t="s">
        <v>48</v>
      </c>
      <c r="U42" s="616"/>
      <c r="V42" s="616"/>
      <c r="W42" s="616"/>
      <c r="X42" s="616"/>
      <c r="Y42" s="616"/>
      <c r="Z42" s="616"/>
      <c r="AA42" s="616"/>
      <c r="AB42" s="616"/>
      <c r="AC42" s="616"/>
      <c r="AD42" s="616"/>
      <c r="AE42" s="616"/>
      <c r="AF42" s="616"/>
      <c r="AG42" s="616"/>
      <c r="AH42" s="616"/>
      <c r="AI42" s="616"/>
      <c r="AJ42" s="616"/>
      <c r="AK42" s="616"/>
      <c r="AL42" s="616">
        <f t="shared" si="4"/>
        <v>0</v>
      </c>
    </row>
    <row r="43" spans="1:38" ht="25.5">
      <c r="A43" s="1065"/>
      <c r="B43" s="743" t="s">
        <v>140</v>
      </c>
      <c r="C43" s="683" t="s">
        <v>825</v>
      </c>
      <c r="D43" s="742" t="s">
        <v>936</v>
      </c>
      <c r="E43" s="739" t="s">
        <v>934</v>
      </c>
      <c r="F43" s="739">
        <v>1</v>
      </c>
      <c r="G43" s="739">
        <v>1</v>
      </c>
      <c r="H43" s="619">
        <f>PCFP!AP$129</f>
        <v>8992.6200000000008</v>
      </c>
      <c r="I43" s="619">
        <f t="shared" si="1"/>
        <v>8992.6200000000008</v>
      </c>
      <c r="J43" s="630">
        <f t="shared" si="5"/>
        <v>107911.44</v>
      </c>
      <c r="K43" s="619">
        <f t="shared" si="3"/>
        <v>359704.80000000005</v>
      </c>
      <c r="L43" s="618"/>
      <c r="M43" s="618"/>
      <c r="N43" s="618"/>
      <c r="O43" s="618"/>
      <c r="P43" s="618"/>
      <c r="R43" s="628">
        <v>36</v>
      </c>
      <c r="S43" s="628" t="s">
        <v>146</v>
      </c>
      <c r="T43" s="586" t="s">
        <v>48</v>
      </c>
      <c r="U43" s="616"/>
      <c r="V43" s="616"/>
      <c r="W43" s="616"/>
      <c r="X43" s="616"/>
      <c r="Y43" s="616"/>
      <c r="Z43" s="616"/>
      <c r="AA43" s="616"/>
      <c r="AB43" s="616"/>
      <c r="AC43" s="616"/>
      <c r="AD43" s="616"/>
      <c r="AE43" s="616"/>
      <c r="AF43" s="616"/>
      <c r="AG43" s="616"/>
      <c r="AH43" s="616"/>
      <c r="AI43" s="616"/>
      <c r="AJ43" s="616"/>
      <c r="AK43" s="616"/>
      <c r="AL43" s="616">
        <f t="shared" si="4"/>
        <v>0</v>
      </c>
    </row>
    <row r="44" spans="1:38" ht="25.5">
      <c r="A44" s="1065"/>
      <c r="B44" s="621" t="s">
        <v>143</v>
      </c>
      <c r="C44" s="683" t="s">
        <v>825</v>
      </c>
      <c r="D44" s="742" t="s">
        <v>936</v>
      </c>
      <c r="E44" s="739" t="s">
        <v>934</v>
      </c>
      <c r="F44" s="739">
        <v>1</v>
      </c>
      <c r="G44" s="739">
        <v>1</v>
      </c>
      <c r="H44" s="619">
        <f>PCFP!AQ$129</f>
        <v>9246.44</v>
      </c>
      <c r="I44" s="619">
        <f t="shared" si="1"/>
        <v>9246.44</v>
      </c>
      <c r="J44" s="630">
        <f t="shared" si="5"/>
        <v>110957.28</v>
      </c>
      <c r="K44" s="619">
        <f t="shared" si="3"/>
        <v>369857.60000000003</v>
      </c>
      <c r="L44" s="618"/>
      <c r="M44" s="618"/>
      <c r="N44" s="618"/>
      <c r="O44" s="618"/>
      <c r="P44" s="618"/>
      <c r="R44" s="586">
        <v>37</v>
      </c>
      <c r="S44" s="629" t="s">
        <v>149</v>
      </c>
      <c r="T44" s="586" t="s">
        <v>63</v>
      </c>
      <c r="U44" s="616"/>
      <c r="V44" s="616"/>
      <c r="W44" s="616"/>
      <c r="X44" s="616"/>
      <c r="Y44" s="616"/>
      <c r="Z44" s="616"/>
      <c r="AA44" s="616"/>
      <c r="AB44" s="616"/>
      <c r="AC44" s="616"/>
      <c r="AD44" s="616"/>
      <c r="AE44" s="616"/>
      <c r="AF44" s="616"/>
      <c r="AG44" s="616"/>
      <c r="AH44" s="616"/>
      <c r="AI44" s="616"/>
      <c r="AJ44" s="616"/>
      <c r="AK44" s="616"/>
      <c r="AL44" s="616">
        <f t="shared" si="4"/>
        <v>0</v>
      </c>
    </row>
    <row r="45" spans="1:38" ht="25.5">
      <c r="A45" s="1065"/>
      <c r="B45" s="743" t="s">
        <v>146</v>
      </c>
      <c r="C45" s="683" t="s">
        <v>825</v>
      </c>
      <c r="D45" s="742" t="s">
        <v>936</v>
      </c>
      <c r="E45" s="739" t="s">
        <v>934</v>
      </c>
      <c r="F45" s="739">
        <v>1</v>
      </c>
      <c r="G45" s="739">
        <v>1</v>
      </c>
      <c r="H45" s="619">
        <f>PCFP!AR$129</f>
        <v>9158.27</v>
      </c>
      <c r="I45" s="619">
        <f t="shared" si="1"/>
        <v>9158.27</v>
      </c>
      <c r="J45" s="630">
        <f t="shared" si="5"/>
        <v>109899.24</v>
      </c>
      <c r="K45" s="619">
        <f t="shared" si="3"/>
        <v>366330.80000000005</v>
      </c>
      <c r="L45" s="618"/>
      <c r="M45" s="618"/>
      <c r="N45" s="618"/>
      <c r="O45" s="618"/>
      <c r="P45" s="618"/>
      <c r="R45" s="628">
        <v>38</v>
      </c>
      <c r="S45" s="629" t="s">
        <v>149</v>
      </c>
      <c r="T45" s="629" t="s">
        <v>952</v>
      </c>
      <c r="U45" s="616"/>
      <c r="V45" s="616"/>
      <c r="W45" s="616"/>
      <c r="X45" s="616"/>
      <c r="Y45" s="616"/>
      <c r="Z45" s="616"/>
      <c r="AA45" s="616"/>
      <c r="AB45" s="616"/>
      <c r="AC45" s="616"/>
      <c r="AD45" s="616"/>
      <c r="AE45" s="616"/>
      <c r="AF45" s="616"/>
      <c r="AG45" s="616"/>
      <c r="AH45" s="616"/>
      <c r="AI45" s="616"/>
      <c r="AJ45" s="616"/>
      <c r="AK45" s="616">
        <v>1</v>
      </c>
      <c r="AL45" s="616">
        <f t="shared" si="4"/>
        <v>1</v>
      </c>
    </row>
    <row r="46" spans="1:38" ht="25.5">
      <c r="A46" s="1065"/>
      <c r="B46" s="1071" t="s">
        <v>149</v>
      </c>
      <c r="C46" s="748" t="s">
        <v>826</v>
      </c>
      <c r="D46" s="739" t="s">
        <v>944</v>
      </c>
      <c r="E46" s="739" t="s">
        <v>934</v>
      </c>
      <c r="F46" s="739">
        <v>1</v>
      </c>
      <c r="G46" s="739">
        <v>1</v>
      </c>
      <c r="H46" s="619">
        <f>PCFP!AS$129</f>
        <v>9099.39</v>
      </c>
      <c r="I46" s="619">
        <f t="shared" si="1"/>
        <v>9099.39</v>
      </c>
      <c r="J46" s="630">
        <f t="shared" si="5"/>
        <v>109192.68</v>
      </c>
      <c r="K46" s="619">
        <f t="shared" si="3"/>
        <v>363975.6</v>
      </c>
      <c r="L46" s="618"/>
      <c r="M46" s="618"/>
      <c r="N46" s="618"/>
      <c r="O46" s="618"/>
      <c r="P46" s="618"/>
    </row>
    <row r="47" spans="1:38" ht="25.5">
      <c r="A47" s="1066"/>
      <c r="B47" s="1072"/>
      <c r="C47" s="683" t="s">
        <v>825</v>
      </c>
      <c r="D47" s="742" t="s">
        <v>936</v>
      </c>
      <c r="E47" s="739" t="s">
        <v>934</v>
      </c>
      <c r="F47" s="739">
        <v>1</v>
      </c>
      <c r="G47" s="739">
        <v>1</v>
      </c>
      <c r="H47" s="619">
        <f>PCFP!AT$129</f>
        <v>9099.39</v>
      </c>
      <c r="I47" s="619">
        <f t="shared" si="1"/>
        <v>9099.39</v>
      </c>
      <c r="J47" s="630">
        <f t="shared" si="5"/>
        <v>109192.68</v>
      </c>
      <c r="K47" s="619">
        <f t="shared" si="3"/>
        <v>363975.6</v>
      </c>
      <c r="L47" s="618"/>
      <c r="M47" s="618"/>
      <c r="N47" s="618"/>
      <c r="O47" s="618"/>
      <c r="P47" s="618"/>
    </row>
    <row r="48" spans="1:38" ht="21.75" customHeight="1">
      <c r="A48" s="744" t="s">
        <v>953</v>
      </c>
      <c r="B48" s="744"/>
      <c r="C48" s="744"/>
      <c r="D48" s="744"/>
      <c r="E48" s="744"/>
      <c r="F48" s="745">
        <f>SUM(F12:F47)</f>
        <v>46</v>
      </c>
      <c r="G48" s="745">
        <f>SUM(G12:G47)</f>
        <v>51</v>
      </c>
      <c r="H48" s="633"/>
      <c r="I48" s="811">
        <f>SUM(I12:I47)</f>
        <v>479777.50000000012</v>
      </c>
      <c r="J48" s="630">
        <f>SUM(J12:J47)</f>
        <v>5757330</v>
      </c>
      <c r="K48" s="619">
        <f>SUM(K12:K47)</f>
        <v>19191100.000000004</v>
      </c>
      <c r="L48" s="631"/>
      <c r="M48" s="631"/>
      <c r="N48" s="631"/>
      <c r="O48" s="631"/>
      <c r="P48" s="631"/>
    </row>
    <row r="49" spans="1:17" ht="66" customHeight="1">
      <c r="A49" s="586">
        <v>2</v>
      </c>
      <c r="B49" s="1061" t="s">
        <v>954</v>
      </c>
      <c r="C49" s="1062"/>
      <c r="D49" s="1062"/>
      <c r="E49" s="1062"/>
      <c r="F49" s="1062"/>
      <c r="G49" s="1062"/>
      <c r="H49" s="1063"/>
      <c r="I49" s="825">
        <f>'Serviços sob Demanda'!I25</f>
        <v>60725.23</v>
      </c>
      <c r="J49" s="826">
        <f>I49*12</f>
        <v>728702.76</v>
      </c>
      <c r="K49" s="825">
        <f>I49*40</f>
        <v>2429009.2000000002</v>
      </c>
      <c r="L49" s="618"/>
      <c r="M49" s="618"/>
      <c r="N49" s="618"/>
      <c r="O49" s="618"/>
      <c r="P49" s="618"/>
    </row>
    <row r="50" spans="1:17" ht="76.5" customHeight="1">
      <c r="A50" s="586">
        <v>3</v>
      </c>
      <c r="B50" s="1055" t="s">
        <v>955</v>
      </c>
      <c r="C50" s="1056"/>
      <c r="D50" s="1056"/>
      <c r="E50" s="1056"/>
      <c r="F50" s="1056"/>
      <c r="G50" s="1056"/>
      <c r="H50" s="1057"/>
      <c r="I50" s="825">
        <f>Materiais!I201</f>
        <v>104725.75999999999</v>
      </c>
      <c r="J50" s="826">
        <f>I50*12</f>
        <v>1256709.1199999999</v>
      </c>
      <c r="K50" s="825">
        <f>I50*40</f>
        <v>4189030.3999999999</v>
      </c>
      <c r="L50" s="618"/>
      <c r="M50" s="618"/>
      <c r="N50" s="618"/>
      <c r="O50" s="618"/>
      <c r="P50" s="618"/>
    </row>
    <row r="51" spans="1:17" ht="22.5" customHeight="1">
      <c r="A51" s="1058" t="s">
        <v>956</v>
      </c>
      <c r="B51" s="1059"/>
      <c r="C51" s="1059"/>
      <c r="D51" s="1059"/>
      <c r="E51" s="1059"/>
      <c r="F51" s="1059"/>
      <c r="G51" s="1059"/>
      <c r="H51" s="1060"/>
      <c r="I51" s="825">
        <f>SUM(I48:I50)</f>
        <v>645228.49000000011</v>
      </c>
      <c r="J51" s="826">
        <f>SUM(J48:J50)</f>
        <v>7742741.8799999999</v>
      </c>
      <c r="K51" s="825">
        <f>SUM(K48:K50)</f>
        <v>25809139.600000001</v>
      </c>
    </row>
    <row r="53" spans="1:17" s="377" customFormat="1" ht="12">
      <c r="A53" s="702" t="s">
        <v>957</v>
      </c>
      <c r="B53" s="702"/>
      <c r="C53" s="702"/>
      <c r="F53" s="703"/>
      <c r="G53" s="703"/>
    </row>
    <row r="54" spans="1:17" s="377" customFormat="1" ht="12"/>
    <row r="55" spans="1:17" s="377" customFormat="1" ht="33.6" customHeight="1">
      <c r="A55" s="1033" t="s">
        <v>958</v>
      </c>
      <c r="B55" s="1033"/>
      <c r="C55" s="1033"/>
      <c r="I55" s="780"/>
      <c r="J55" s="780"/>
      <c r="K55" s="780"/>
    </row>
    <row r="56" spans="1:17" s="377" customFormat="1" ht="13.5" customHeight="1"/>
    <row r="57" spans="1:17" s="377" customFormat="1" ht="12">
      <c r="Q57" s="704"/>
    </row>
    <row r="58" spans="1:17" s="377" customFormat="1" ht="12">
      <c r="A58" s="702" t="s">
        <v>959</v>
      </c>
      <c r="B58" s="702"/>
      <c r="C58" s="702"/>
      <c r="Q58" s="704"/>
    </row>
    <row r="59" spans="1:17" s="377" customFormat="1" ht="12">
      <c r="A59" s="702" t="s">
        <v>960</v>
      </c>
      <c r="Q59" s="704"/>
    </row>
    <row r="60" spans="1:17" s="377" customFormat="1" ht="12">
      <c r="A60" s="705"/>
      <c r="Q60" s="704"/>
    </row>
    <row r="61" spans="1:17" s="377" customFormat="1" ht="12">
      <c r="A61" s="702" t="s">
        <v>961</v>
      </c>
      <c r="B61" s="702"/>
      <c r="C61" s="702"/>
    </row>
    <row r="62" spans="1:17" s="377" customFormat="1" ht="12">
      <c r="A62" s="706" t="s">
        <v>962</v>
      </c>
      <c r="Q62" s="704"/>
    </row>
    <row r="63" spans="1:17" s="377" customFormat="1" ht="12">
      <c r="A63" s="706" t="s">
        <v>963</v>
      </c>
    </row>
    <row r="64" spans="1:17" s="377" customFormat="1" ht="12">
      <c r="A64" s="702" t="s">
        <v>964</v>
      </c>
      <c r="B64" s="702"/>
      <c r="C64" s="702"/>
    </row>
  </sheetData>
  <mergeCells count="15">
    <mergeCell ref="A55:C55"/>
    <mergeCell ref="A5:B7"/>
    <mergeCell ref="A1:K1"/>
    <mergeCell ref="C3:I3"/>
    <mergeCell ref="C4:I4"/>
    <mergeCell ref="C5:K7"/>
    <mergeCell ref="A3:B3"/>
    <mergeCell ref="A4:B4"/>
    <mergeCell ref="B50:H50"/>
    <mergeCell ref="A51:H51"/>
    <mergeCell ref="B49:H49"/>
    <mergeCell ref="A12:A47"/>
    <mergeCell ref="B12:B27"/>
    <mergeCell ref="B34:B35"/>
    <mergeCell ref="B46:B47"/>
  </mergeCells>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1AEC8-14F4-4B7C-8008-27E2A646763C}">
  <dimension ref="A1:S13"/>
  <sheetViews>
    <sheetView workbookViewId="0">
      <selection activeCell="P27" sqref="P27"/>
    </sheetView>
  </sheetViews>
  <sheetFormatPr defaultRowHeight="14.25"/>
  <cols>
    <col min="1" max="1" width="61" bestFit="1" customWidth="1"/>
    <col min="2" max="2" width="3.875" bestFit="1" customWidth="1"/>
    <col min="3" max="3" width="5.75" bestFit="1" customWidth="1"/>
    <col min="4" max="4" width="4.625" bestFit="1" customWidth="1"/>
    <col min="5" max="5" width="4.5" bestFit="1" customWidth="1"/>
    <col min="6" max="6" width="4.25" bestFit="1" customWidth="1"/>
    <col min="7" max="7" width="5" bestFit="1" customWidth="1"/>
    <col min="8" max="9" width="4.625" bestFit="1" customWidth="1"/>
    <col min="10" max="11" width="4.75" bestFit="1" customWidth="1"/>
    <col min="12" max="12" width="4" bestFit="1" customWidth="1"/>
    <col min="13" max="13" width="4.625" bestFit="1" customWidth="1"/>
    <col min="14" max="14" width="3" bestFit="1" customWidth="1"/>
    <col min="15" max="15" width="4.75" bestFit="1" customWidth="1"/>
    <col min="16" max="16" width="4.25" bestFit="1" customWidth="1"/>
    <col min="17" max="17" width="4.625" bestFit="1" customWidth="1"/>
    <col min="18" max="18" width="5" bestFit="1" customWidth="1"/>
  </cols>
  <sheetData>
    <row r="1" spans="1:19">
      <c r="B1" t="s">
        <v>965</v>
      </c>
      <c r="C1" t="s">
        <v>98</v>
      </c>
      <c r="D1" t="s">
        <v>115</v>
      </c>
      <c r="E1" t="s">
        <v>149</v>
      </c>
      <c r="F1" t="s">
        <v>140</v>
      </c>
      <c r="G1" t="s">
        <v>143</v>
      </c>
      <c r="H1" t="s">
        <v>102</v>
      </c>
      <c r="I1" t="s">
        <v>109</v>
      </c>
      <c r="J1" t="s">
        <v>112</v>
      </c>
      <c r="K1" t="s">
        <v>119</v>
      </c>
      <c r="L1" t="s">
        <v>122</v>
      </c>
      <c r="M1" t="s">
        <v>128</v>
      </c>
      <c r="N1" t="s">
        <v>125</v>
      </c>
      <c r="O1" t="s">
        <v>131</v>
      </c>
      <c r="P1" t="s">
        <v>137</v>
      </c>
      <c r="Q1" t="s">
        <v>146</v>
      </c>
      <c r="R1" t="s">
        <v>966</v>
      </c>
    </row>
    <row r="2" spans="1:19">
      <c r="A2" s="595" t="s">
        <v>696</v>
      </c>
      <c r="B2" s="594">
        <v>97</v>
      </c>
      <c r="C2">
        <v>15</v>
      </c>
      <c r="D2">
        <v>49</v>
      </c>
      <c r="F2">
        <v>5</v>
      </c>
      <c r="G2">
        <v>15</v>
      </c>
      <c r="H2">
        <v>7</v>
      </c>
      <c r="I2">
        <v>6</v>
      </c>
      <c r="J2">
        <v>15</v>
      </c>
      <c r="N2">
        <v>15</v>
      </c>
      <c r="O2">
        <v>40</v>
      </c>
      <c r="P2">
        <v>40</v>
      </c>
      <c r="Q2">
        <v>7</v>
      </c>
      <c r="R2">
        <v>7</v>
      </c>
      <c r="S2">
        <f>SUM(B2:R2)</f>
        <v>318</v>
      </c>
    </row>
    <row r="3" spans="1:19">
      <c r="A3" s="595" t="s">
        <v>698</v>
      </c>
      <c r="B3" s="594">
        <v>6</v>
      </c>
      <c r="C3">
        <v>3</v>
      </c>
      <c r="E3">
        <v>7</v>
      </c>
      <c r="F3">
        <v>1</v>
      </c>
      <c r="G3">
        <v>1</v>
      </c>
      <c r="H3">
        <v>3</v>
      </c>
      <c r="J3">
        <v>1</v>
      </c>
      <c r="N3">
        <v>1</v>
      </c>
      <c r="Q3">
        <v>3</v>
      </c>
      <c r="R3">
        <v>3</v>
      </c>
      <c r="S3">
        <f t="shared" ref="S3:S12" si="0">SUM(B3:R3)</f>
        <v>29</v>
      </c>
    </row>
    <row r="4" spans="1:19">
      <c r="A4" s="595" t="s">
        <v>700</v>
      </c>
      <c r="B4" s="594">
        <v>2</v>
      </c>
      <c r="S4">
        <f t="shared" si="0"/>
        <v>2</v>
      </c>
    </row>
    <row r="5" spans="1:19">
      <c r="A5" s="595" t="s">
        <v>702</v>
      </c>
      <c r="B5" s="594"/>
      <c r="D5">
        <v>1</v>
      </c>
      <c r="S5">
        <f t="shared" si="0"/>
        <v>1</v>
      </c>
    </row>
    <row r="6" spans="1:19">
      <c r="A6" s="595" t="s">
        <v>704</v>
      </c>
      <c r="B6" s="594">
        <v>1</v>
      </c>
      <c r="S6">
        <f t="shared" si="0"/>
        <v>1</v>
      </c>
    </row>
    <row r="7" spans="1:19">
      <c r="A7" s="595" t="s">
        <v>706</v>
      </c>
      <c r="B7" s="594">
        <v>1</v>
      </c>
      <c r="E7">
        <v>2</v>
      </c>
      <c r="G7">
        <v>1</v>
      </c>
      <c r="J7">
        <v>1</v>
      </c>
      <c r="N7">
        <v>1</v>
      </c>
      <c r="S7">
        <f t="shared" si="0"/>
        <v>6</v>
      </c>
    </row>
    <row r="8" spans="1:19">
      <c r="A8" s="595" t="s">
        <v>708</v>
      </c>
      <c r="B8" s="594">
        <v>45</v>
      </c>
      <c r="C8">
        <v>2</v>
      </c>
      <c r="E8">
        <v>14</v>
      </c>
      <c r="F8">
        <v>3</v>
      </c>
      <c r="G8">
        <v>4</v>
      </c>
      <c r="J8">
        <v>4</v>
      </c>
      <c r="N8">
        <v>4</v>
      </c>
      <c r="O8">
        <v>4</v>
      </c>
      <c r="P8">
        <v>4</v>
      </c>
      <c r="Q8">
        <v>1</v>
      </c>
      <c r="R8">
        <v>1</v>
      </c>
      <c r="S8">
        <f t="shared" si="0"/>
        <v>86</v>
      </c>
    </row>
    <row r="9" spans="1:19">
      <c r="A9" s="595" t="s">
        <v>710</v>
      </c>
      <c r="B9" s="594">
        <v>3</v>
      </c>
      <c r="S9">
        <f t="shared" si="0"/>
        <v>3</v>
      </c>
    </row>
    <row r="10" spans="1:19">
      <c r="A10" s="595" t="s">
        <v>712</v>
      </c>
      <c r="B10" s="594">
        <v>3</v>
      </c>
      <c r="F10">
        <v>5</v>
      </c>
      <c r="S10">
        <f t="shared" si="0"/>
        <v>8</v>
      </c>
    </row>
    <row r="11" spans="1:19">
      <c r="A11" s="595" t="s">
        <v>714</v>
      </c>
      <c r="B11" s="594">
        <v>91</v>
      </c>
      <c r="C11">
        <v>14</v>
      </c>
      <c r="D11">
        <v>50</v>
      </c>
      <c r="E11">
        <v>6</v>
      </c>
      <c r="G11">
        <v>9</v>
      </c>
      <c r="H11">
        <v>4</v>
      </c>
      <c r="I11">
        <v>4</v>
      </c>
      <c r="J11">
        <v>9</v>
      </c>
      <c r="N11">
        <v>9</v>
      </c>
      <c r="O11">
        <v>30</v>
      </c>
      <c r="P11">
        <v>20</v>
      </c>
      <c r="Q11">
        <v>4</v>
      </c>
      <c r="R11">
        <v>4</v>
      </c>
      <c r="S11">
        <f t="shared" si="0"/>
        <v>254</v>
      </c>
    </row>
    <row r="12" spans="1:19">
      <c r="A12" s="595" t="s">
        <v>967</v>
      </c>
      <c r="B12" s="594">
        <v>1</v>
      </c>
      <c r="S12">
        <f t="shared" si="0"/>
        <v>1</v>
      </c>
    </row>
    <row r="13" spans="1:19">
      <c r="B13">
        <f>SUM(B2:B12)</f>
        <v>250</v>
      </c>
      <c r="C13">
        <f t="shared" ref="C13:R13" si="1">SUM(C2:C12)</f>
        <v>34</v>
      </c>
      <c r="D13">
        <f t="shared" si="1"/>
        <v>100</v>
      </c>
      <c r="E13">
        <f t="shared" si="1"/>
        <v>29</v>
      </c>
      <c r="F13">
        <f t="shared" si="1"/>
        <v>14</v>
      </c>
      <c r="G13">
        <f t="shared" si="1"/>
        <v>30</v>
      </c>
      <c r="H13">
        <f t="shared" si="1"/>
        <v>14</v>
      </c>
      <c r="I13">
        <f t="shared" si="1"/>
        <v>10</v>
      </c>
      <c r="J13">
        <f t="shared" si="1"/>
        <v>30</v>
      </c>
      <c r="K13">
        <f t="shared" si="1"/>
        <v>0</v>
      </c>
      <c r="L13">
        <f t="shared" si="1"/>
        <v>0</v>
      </c>
      <c r="M13">
        <f t="shared" si="1"/>
        <v>0</v>
      </c>
      <c r="N13">
        <f t="shared" si="1"/>
        <v>30</v>
      </c>
      <c r="O13">
        <f t="shared" si="1"/>
        <v>74</v>
      </c>
      <c r="P13">
        <f t="shared" si="1"/>
        <v>64</v>
      </c>
      <c r="Q13">
        <f t="shared" si="1"/>
        <v>15</v>
      </c>
      <c r="R13">
        <f t="shared" si="1"/>
        <v>15</v>
      </c>
      <c r="S13">
        <f>SUM(S2:S12)</f>
        <v>709</v>
      </c>
    </row>
  </sheetData>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24"/>
  <dimension ref="A1:HZ640"/>
  <sheetViews>
    <sheetView workbookViewId="0">
      <selection activeCell="J6" sqref="J6:K6"/>
    </sheetView>
  </sheetViews>
  <sheetFormatPr defaultColWidth="8.5" defaultRowHeight="12.75"/>
  <cols>
    <col min="1" max="1" width="2.375" style="136" customWidth="1"/>
    <col min="2" max="2" width="8.5" style="136" customWidth="1"/>
    <col min="3" max="3" width="8.5" style="136"/>
    <col min="4" max="5" width="8" style="136" customWidth="1"/>
    <col min="6" max="6" width="8.5" style="136"/>
    <col min="7" max="8" width="8" style="136" customWidth="1"/>
    <col min="9" max="9" width="12.75" style="154" customWidth="1"/>
    <col min="10" max="10" width="8.75" style="136" customWidth="1"/>
    <col min="11" max="14" width="12.625" style="154" customWidth="1"/>
    <col min="15" max="15" width="12.625" style="135" customWidth="1"/>
    <col min="16" max="84" width="8.5" style="135"/>
    <col min="85" max="16384" width="8.5" style="136"/>
  </cols>
  <sheetData>
    <row r="1" spans="1:84" s="134" customFormat="1" ht="27" customHeight="1">
      <c r="A1" s="1073" t="s">
        <v>968</v>
      </c>
      <c r="B1" s="1073"/>
      <c r="C1" s="1073"/>
      <c r="D1" s="1073"/>
      <c r="E1" s="1073"/>
      <c r="F1" s="1073"/>
      <c r="G1" s="1073"/>
      <c r="H1" s="1073"/>
      <c r="I1" s="1073"/>
      <c r="J1" s="1073"/>
      <c r="K1" s="1073"/>
      <c r="L1" s="1073"/>
      <c r="M1" s="1073"/>
      <c r="N1" s="107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row>
    <row r="2" spans="1:84" s="134" customFormat="1" ht="27" customHeight="1">
      <c r="A2" s="1074" t="s">
        <v>969</v>
      </c>
      <c r="B2" s="1074"/>
      <c r="C2" s="1074"/>
      <c r="D2" s="1074"/>
      <c r="E2" s="1074"/>
      <c r="F2" s="1074"/>
      <c r="G2" s="1074"/>
      <c r="H2" s="1074"/>
      <c r="I2" s="1074"/>
      <c r="J2" s="1074"/>
      <c r="K2" s="1074"/>
      <c r="L2" s="1074"/>
      <c r="M2" s="1074"/>
      <c r="N2" s="1074"/>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c r="BB2" s="133"/>
      <c r="BC2" s="133"/>
      <c r="BD2" s="133"/>
      <c r="BE2" s="133"/>
      <c r="BF2" s="133"/>
      <c r="BG2" s="133"/>
      <c r="BH2" s="133"/>
      <c r="BI2" s="133"/>
      <c r="BJ2" s="133"/>
      <c r="BK2" s="133"/>
      <c r="BL2" s="133"/>
      <c r="BM2" s="133"/>
      <c r="BN2" s="133"/>
      <c r="BO2" s="133"/>
      <c r="BP2" s="133"/>
      <c r="BQ2" s="133"/>
      <c r="BR2" s="133"/>
      <c r="BS2" s="133"/>
      <c r="BT2" s="133"/>
      <c r="BU2" s="133"/>
      <c r="BV2" s="133"/>
      <c r="BW2" s="133"/>
      <c r="BX2" s="133"/>
      <c r="BY2" s="133"/>
      <c r="BZ2" s="133"/>
      <c r="CA2" s="133"/>
      <c r="CB2" s="133"/>
      <c r="CC2" s="133"/>
      <c r="CD2" s="133"/>
      <c r="CE2" s="133"/>
      <c r="CF2" s="133"/>
    </row>
    <row r="3" spans="1:84" s="134" customFormat="1" ht="27" customHeight="1">
      <c r="A3" s="324" t="s">
        <v>970</v>
      </c>
      <c r="B3" s="324"/>
      <c r="C3" s="325"/>
      <c r="D3" s="325"/>
      <c r="E3" s="325"/>
      <c r="F3" s="325"/>
      <c r="G3" s="325"/>
      <c r="H3" s="325"/>
      <c r="I3" s="325"/>
      <c r="J3" s="325"/>
      <c r="K3" s="325"/>
      <c r="L3" s="325"/>
      <c r="M3" s="325"/>
      <c r="N3" s="325"/>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c r="BD3" s="133"/>
      <c r="BE3" s="133"/>
      <c r="BF3" s="133"/>
      <c r="BG3" s="133"/>
      <c r="BH3" s="133"/>
      <c r="BI3" s="133"/>
      <c r="BJ3" s="133"/>
      <c r="BK3" s="133"/>
      <c r="BL3" s="133"/>
      <c r="BM3" s="133"/>
      <c r="BN3" s="133"/>
      <c r="BO3" s="133"/>
      <c r="BP3" s="133"/>
      <c r="BQ3" s="133"/>
      <c r="BR3" s="133"/>
      <c r="BS3" s="133"/>
      <c r="BT3" s="133"/>
      <c r="BU3" s="133"/>
      <c r="BV3" s="133"/>
      <c r="BW3" s="133"/>
      <c r="BX3" s="133"/>
      <c r="BY3" s="133"/>
      <c r="BZ3" s="133"/>
      <c r="CA3" s="133"/>
      <c r="CB3" s="133"/>
      <c r="CC3" s="133"/>
      <c r="CD3" s="133"/>
      <c r="CE3" s="133"/>
      <c r="CF3" s="133"/>
    </row>
    <row r="4" spans="1:84" s="134" customFormat="1" ht="27" customHeight="1">
      <c r="A4" s="281">
        <v>1</v>
      </c>
      <c r="B4" s="333" t="s">
        <v>971</v>
      </c>
      <c r="C4" s="334"/>
      <c r="D4" s="334"/>
      <c r="E4" s="334"/>
      <c r="F4" s="335"/>
      <c r="G4" s="335"/>
      <c r="H4" s="335"/>
      <c r="I4" s="335"/>
      <c r="J4" s="1075" t="s">
        <v>972</v>
      </c>
      <c r="K4" s="1075"/>
      <c r="L4" s="340"/>
      <c r="M4" s="339"/>
      <c r="N4" s="339"/>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c r="BD4" s="133"/>
      <c r="BE4" s="133"/>
      <c r="BF4" s="133"/>
      <c r="BG4" s="133"/>
      <c r="BH4" s="133"/>
      <c r="BI4" s="133"/>
      <c r="BJ4" s="133"/>
      <c r="BK4" s="133"/>
      <c r="BL4" s="133"/>
      <c r="BM4" s="133"/>
      <c r="BN4" s="133"/>
      <c r="BO4" s="133"/>
      <c r="BP4" s="133"/>
      <c r="BQ4" s="133"/>
      <c r="BR4" s="133"/>
      <c r="BS4" s="133"/>
      <c r="BT4" s="133"/>
      <c r="BU4" s="133"/>
      <c r="BV4" s="133"/>
      <c r="BW4" s="133"/>
      <c r="BX4" s="133"/>
      <c r="BY4" s="133"/>
      <c r="BZ4" s="133"/>
      <c r="CA4" s="133"/>
      <c r="CB4" s="133"/>
      <c r="CC4" s="133"/>
      <c r="CD4" s="133"/>
      <c r="CE4" s="133"/>
      <c r="CF4" s="133"/>
    </row>
    <row r="5" spans="1:84" s="134" customFormat="1" ht="27" customHeight="1">
      <c r="A5" s="281">
        <v>2</v>
      </c>
      <c r="B5" s="333" t="s">
        <v>973</v>
      </c>
      <c r="C5" s="334"/>
      <c r="D5" s="334"/>
      <c r="E5" s="334"/>
      <c r="F5" s="335"/>
      <c r="G5" s="335"/>
      <c r="H5" s="335"/>
      <c r="I5" s="335"/>
      <c r="J5" s="1075" t="s">
        <v>974</v>
      </c>
      <c r="K5" s="1075"/>
      <c r="L5" s="341"/>
      <c r="M5" s="339"/>
      <c r="N5" s="339"/>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c r="AW5" s="133"/>
      <c r="AX5" s="133"/>
      <c r="AY5" s="133"/>
      <c r="AZ5" s="133"/>
      <c r="BA5" s="133"/>
      <c r="BB5" s="133"/>
      <c r="BC5" s="133"/>
      <c r="BD5" s="133"/>
      <c r="BE5" s="133"/>
      <c r="BF5" s="133"/>
      <c r="BG5" s="133"/>
      <c r="BH5" s="133"/>
      <c r="BI5" s="133"/>
      <c r="BJ5" s="133"/>
      <c r="BK5" s="133"/>
      <c r="BL5" s="133"/>
      <c r="BM5" s="133"/>
      <c r="BN5" s="133"/>
      <c r="BO5" s="133"/>
      <c r="BP5" s="133"/>
      <c r="BQ5" s="133"/>
      <c r="BR5" s="133"/>
      <c r="BS5" s="133"/>
      <c r="BT5" s="133"/>
      <c r="BU5" s="133"/>
      <c r="BV5" s="133"/>
      <c r="BW5" s="133"/>
      <c r="BX5" s="133"/>
      <c r="BY5" s="133"/>
      <c r="BZ5" s="133"/>
      <c r="CA5" s="133"/>
      <c r="CB5" s="133"/>
      <c r="CC5" s="133"/>
      <c r="CD5" s="133"/>
      <c r="CE5" s="133"/>
      <c r="CF5" s="133"/>
    </row>
    <row r="6" spans="1:84" s="134" customFormat="1" ht="27" customHeight="1">
      <c r="A6" s="281">
        <v>3</v>
      </c>
      <c r="B6" s="333" t="s">
        <v>975</v>
      </c>
      <c r="C6" s="334"/>
      <c r="D6" s="334"/>
      <c r="E6" s="334"/>
      <c r="F6" s="335"/>
      <c r="G6" s="335"/>
      <c r="H6" s="335"/>
      <c r="I6" s="335"/>
      <c r="J6" s="1079" t="e">
        <f>'Dados - Composição PCFP'!#REF!</f>
        <v>#REF!</v>
      </c>
      <c r="K6" s="1079"/>
      <c r="L6" s="341"/>
      <c r="M6" s="339"/>
      <c r="N6" s="339"/>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row>
    <row r="7" spans="1:84" s="134" customFormat="1" ht="27" customHeight="1">
      <c r="A7" s="281">
        <v>4</v>
      </c>
      <c r="B7" s="336" t="s">
        <v>976</v>
      </c>
      <c r="C7" s="334"/>
      <c r="D7" s="334"/>
      <c r="E7" s="334"/>
      <c r="F7" s="335"/>
      <c r="G7" s="335"/>
      <c r="H7" s="335"/>
      <c r="I7" s="335"/>
      <c r="J7" s="1075" t="s">
        <v>977</v>
      </c>
      <c r="K7" s="1075"/>
      <c r="L7" s="341"/>
      <c r="M7" s="339"/>
      <c r="N7" s="339"/>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3"/>
      <c r="CF7" s="133"/>
    </row>
    <row r="8" spans="1:84" s="134" customFormat="1" ht="27" customHeight="1">
      <c r="A8" s="281">
        <v>5</v>
      </c>
      <c r="B8" s="336" t="s">
        <v>978</v>
      </c>
      <c r="C8" s="334"/>
      <c r="D8" s="334"/>
      <c r="E8" s="334"/>
      <c r="F8" s="335"/>
      <c r="G8" s="335"/>
      <c r="H8" s="335"/>
      <c r="I8" s="335"/>
      <c r="J8" s="1080" t="e">
        <f>'Dados - Composição PCFP'!#REF!</f>
        <v>#REF!</v>
      </c>
      <c r="K8" s="1080"/>
      <c r="L8" s="342"/>
      <c r="M8" s="339"/>
      <c r="N8" s="339"/>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3"/>
      <c r="BR8" s="133"/>
      <c r="BS8" s="133"/>
      <c r="BT8" s="133"/>
      <c r="BU8" s="133"/>
      <c r="BV8" s="133"/>
      <c r="BW8" s="133"/>
      <c r="BX8" s="133"/>
      <c r="BY8" s="133"/>
      <c r="BZ8" s="133"/>
      <c r="CA8" s="133"/>
      <c r="CB8" s="133"/>
      <c r="CC8" s="133"/>
      <c r="CD8" s="133"/>
      <c r="CE8" s="133"/>
      <c r="CF8" s="133"/>
    </row>
    <row r="9" spans="1:84" s="134" customFormat="1" ht="27" customHeight="1">
      <c r="A9" s="281">
        <v>6</v>
      </c>
      <c r="B9" s="336" t="s">
        <v>979</v>
      </c>
      <c r="C9" s="334"/>
      <c r="D9" s="334"/>
      <c r="E9" s="334"/>
      <c r="F9" s="335"/>
      <c r="G9" s="335"/>
      <c r="H9" s="335"/>
      <c r="I9" s="335"/>
      <c r="J9" s="1080" t="e">
        <f>'Dados - Composição PCFP'!#REF!</f>
        <v>#REF!</v>
      </c>
      <c r="K9" s="1080"/>
      <c r="L9" s="342"/>
      <c r="M9" s="339"/>
      <c r="N9" s="339"/>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3"/>
      <c r="CF9" s="133"/>
    </row>
    <row r="10" spans="1:84" ht="32.25" customHeight="1">
      <c r="A10" s="319">
        <v>7</v>
      </c>
      <c r="B10" s="337" t="s">
        <v>980</v>
      </c>
      <c r="C10" s="338"/>
      <c r="D10" s="338"/>
      <c r="E10" s="338"/>
      <c r="F10" s="338"/>
      <c r="G10" s="338"/>
      <c r="H10" s="338"/>
      <c r="I10" s="338"/>
      <c r="J10" s="1080" t="e">
        <f>'Dados - Composição PCFP'!#REF!</f>
        <v>#REF!</v>
      </c>
      <c r="K10" s="1080"/>
      <c r="L10" s="342"/>
      <c r="M10" s="143"/>
      <c r="N10" s="143"/>
    </row>
    <row r="11" spans="1:84" ht="14.25" customHeight="1">
      <c r="A11" s="1076"/>
      <c r="B11" s="1076"/>
      <c r="C11" s="1076"/>
      <c r="D11" s="1076"/>
      <c r="E11" s="1076"/>
      <c r="F11" s="1076"/>
      <c r="G11" s="1076"/>
      <c r="H11" s="1076"/>
      <c r="I11" s="1076"/>
      <c r="J11" s="1076"/>
      <c r="K11" s="1076"/>
      <c r="L11" s="1076"/>
      <c r="M11" s="1076"/>
      <c r="N11" s="1076"/>
    </row>
    <row r="12" spans="1:84" s="135" customFormat="1" ht="15" customHeight="1">
      <c r="A12" s="138"/>
      <c r="B12" s="137"/>
      <c r="C12" s="137"/>
      <c r="D12" s="137"/>
      <c r="E12" s="137"/>
      <c r="F12" s="137"/>
      <c r="G12" s="137"/>
      <c r="H12" s="137"/>
      <c r="I12" s="139"/>
      <c r="J12" s="137"/>
      <c r="K12" s="317" t="s">
        <v>981</v>
      </c>
      <c r="L12" s="317" t="str">
        <f>K12</f>
        <v>Auxiliar de Limpeza</v>
      </c>
      <c r="M12" s="317" t="s">
        <v>982</v>
      </c>
      <c r="N12" s="317" t="str">
        <f>M12</f>
        <v>Limpador de Vidros</v>
      </c>
    </row>
    <row r="13" spans="1:84" s="135" customFormat="1" ht="15" customHeight="1">
      <c r="A13" s="138"/>
      <c r="B13" s="137"/>
      <c r="C13" s="137"/>
      <c r="D13" s="137"/>
      <c r="E13" s="137"/>
      <c r="F13" s="137"/>
      <c r="G13" s="137"/>
      <c r="H13" s="137"/>
      <c r="I13" s="139"/>
      <c r="J13" s="137"/>
      <c r="K13" s="350" t="s">
        <v>983</v>
      </c>
      <c r="L13" s="350" t="s">
        <v>984</v>
      </c>
      <c r="M13" s="350" t="s">
        <v>983</v>
      </c>
      <c r="N13" s="350" t="s">
        <v>984</v>
      </c>
    </row>
    <row r="14" spans="1:84" ht="21.75" customHeight="1">
      <c r="A14" s="1081" t="s">
        <v>985</v>
      </c>
      <c r="B14" s="1082"/>
      <c r="C14" s="1082"/>
      <c r="D14" s="1082"/>
      <c r="E14" s="1082"/>
      <c r="F14" s="1082"/>
      <c r="G14" s="1082"/>
      <c r="H14" s="1082"/>
      <c r="I14" s="1082"/>
      <c r="J14" s="1083"/>
      <c r="K14" s="172" t="s">
        <v>830</v>
      </c>
      <c r="L14" s="172" t="s">
        <v>830</v>
      </c>
      <c r="M14" s="172" t="s">
        <v>830</v>
      </c>
      <c r="N14" s="172" t="s">
        <v>830</v>
      </c>
    </row>
    <row r="15" spans="1:84" ht="15" customHeight="1">
      <c r="A15" s="276" t="s">
        <v>157</v>
      </c>
      <c r="B15" s="1084" t="s">
        <v>831</v>
      </c>
      <c r="C15" s="1085"/>
      <c r="D15" s="1085"/>
      <c r="E15" s="1085"/>
      <c r="F15" s="1085"/>
      <c r="G15" s="1085"/>
      <c r="H15" s="1085"/>
      <c r="I15" s="1085"/>
      <c r="J15" s="1086"/>
      <c r="K15" s="268" t="e">
        <f>'Dados - Composição PCFP'!#REF!</f>
        <v>#REF!</v>
      </c>
      <c r="L15" s="268" t="e">
        <f>'Dados - Composição PCFP'!#REF!</f>
        <v>#REF!</v>
      </c>
      <c r="M15" s="268" t="e">
        <f>'Dados - Composição PCFP'!#REF!</f>
        <v>#REF!</v>
      </c>
      <c r="N15" s="268" t="e">
        <f>'Dados - Composição PCFP'!#REF!</f>
        <v>#REF!</v>
      </c>
    </row>
    <row r="16" spans="1:84" ht="15" customHeight="1">
      <c r="A16" s="254" t="s">
        <v>159</v>
      </c>
      <c r="B16" s="177" t="s">
        <v>986</v>
      </c>
      <c r="C16" s="178"/>
      <c r="D16" s="178"/>
      <c r="E16" s="163"/>
      <c r="F16" s="178"/>
      <c r="G16" s="176"/>
      <c r="H16" s="176" t="s">
        <v>987</v>
      </c>
      <c r="I16" s="173"/>
      <c r="J16" s="174">
        <v>0.3</v>
      </c>
      <c r="K16" s="175" t="e">
        <f>J16*K15</f>
        <v>#REF!</v>
      </c>
      <c r="L16" s="175" t="e">
        <f>L15*0</f>
        <v>#REF!</v>
      </c>
      <c r="M16" s="175" t="e">
        <f>J16*M15</f>
        <v>#REF!</v>
      </c>
      <c r="N16" s="175" t="e">
        <f>N15*0</f>
        <v>#REF!</v>
      </c>
    </row>
    <row r="17" spans="1:234" ht="16.5" customHeight="1">
      <c r="A17" s="1087" t="s">
        <v>835</v>
      </c>
      <c r="B17" s="1088"/>
      <c r="C17" s="1088"/>
      <c r="D17" s="1088"/>
      <c r="E17" s="1088"/>
      <c r="F17" s="1088"/>
      <c r="G17" s="1088"/>
      <c r="H17" s="1088"/>
      <c r="I17" s="1088"/>
      <c r="J17" s="1089"/>
      <c r="K17" s="175" t="e">
        <f>SUM(K15:K16)</f>
        <v>#REF!</v>
      </c>
      <c r="L17" s="175" t="e">
        <f>SUM(L15:L16)</f>
        <v>#REF!</v>
      </c>
      <c r="M17" s="175" t="e">
        <f>SUM(M15:M16)</f>
        <v>#REF!</v>
      </c>
      <c r="N17" s="175" t="e">
        <f>SUM(N15:N16)</f>
        <v>#REF!</v>
      </c>
    </row>
    <row r="18" spans="1:234" ht="22.5" customHeight="1">
      <c r="A18" s="206" t="s">
        <v>988</v>
      </c>
      <c r="B18" s="207"/>
      <c r="C18" s="207"/>
      <c r="D18" s="207"/>
      <c r="E18" s="207"/>
      <c r="F18" s="207"/>
      <c r="G18" s="165"/>
      <c r="H18" s="165"/>
      <c r="I18" s="165"/>
      <c r="J18" s="233"/>
      <c r="K18" s="234"/>
      <c r="L18" s="234"/>
      <c r="M18" s="234"/>
      <c r="N18" s="234"/>
    </row>
    <row r="19" spans="1:234" ht="14.25" customHeight="1">
      <c r="A19" s="252" t="s">
        <v>849</v>
      </c>
      <c r="B19" s="228"/>
      <c r="C19" s="228"/>
      <c r="D19" s="228"/>
      <c r="E19" s="228"/>
      <c r="F19" s="228"/>
      <c r="G19" s="178"/>
      <c r="H19" s="178"/>
      <c r="I19" s="253"/>
      <c r="J19" s="178"/>
      <c r="K19" s="253"/>
      <c r="L19" s="253"/>
      <c r="M19" s="253"/>
      <c r="N19" s="253"/>
    </row>
    <row r="20" spans="1:234" ht="14.25" customHeight="1">
      <c r="A20" s="246" t="s">
        <v>989</v>
      </c>
      <c r="B20" s="144"/>
      <c r="C20" s="144"/>
      <c r="D20" s="144"/>
      <c r="E20" s="144"/>
      <c r="F20" s="144"/>
      <c r="G20" s="145"/>
      <c r="H20" s="145"/>
      <c r="I20" s="250"/>
      <c r="J20" s="251" t="s">
        <v>156</v>
      </c>
      <c r="K20" s="245" t="s">
        <v>830</v>
      </c>
      <c r="L20" s="245" t="s">
        <v>830</v>
      </c>
      <c r="M20" s="245" t="s">
        <v>830</v>
      </c>
      <c r="N20" s="245" t="s">
        <v>830</v>
      </c>
    </row>
    <row r="21" spans="1:234" ht="14.1" customHeight="1">
      <c r="A21" s="276" t="s">
        <v>157</v>
      </c>
      <c r="B21" s="128" t="s">
        <v>838</v>
      </c>
      <c r="C21" s="128"/>
      <c r="D21" s="128"/>
      <c r="E21" s="128"/>
      <c r="F21" s="128"/>
      <c r="G21" s="128"/>
      <c r="H21" s="128"/>
      <c r="I21" s="128"/>
      <c r="J21" s="147">
        <f>1/12</f>
        <v>8.3333333333333329E-2</v>
      </c>
      <c r="K21" s="275" t="e">
        <f>J21*$K$17</f>
        <v>#REF!</v>
      </c>
      <c r="L21" s="275" t="e">
        <f>J21*$L$17</f>
        <v>#REF!</v>
      </c>
      <c r="M21" s="275" t="e">
        <f>$J$21*$M$17</f>
        <v>#REF!</v>
      </c>
      <c r="N21" s="275" t="e">
        <f>$J21*$N$17</f>
        <v>#REF!</v>
      </c>
    </row>
    <row r="22" spans="1:234" ht="12.75" customHeight="1">
      <c r="A22" s="276" t="s">
        <v>159</v>
      </c>
      <c r="B22" s="128" t="s">
        <v>839</v>
      </c>
      <c r="C22" s="128"/>
      <c r="D22" s="128"/>
      <c r="E22" s="128"/>
      <c r="F22" s="128"/>
      <c r="G22" s="128"/>
      <c r="H22" s="128"/>
      <c r="I22" s="148"/>
      <c r="J22" s="179">
        <f>1/3/12*100%</f>
        <v>2.7777777777777776E-2</v>
      </c>
      <c r="K22" s="275" t="e">
        <f>J22*$K$17</f>
        <v>#REF!</v>
      </c>
      <c r="L22" s="275" t="e">
        <f>J22*$L$17</f>
        <v>#REF!</v>
      </c>
      <c r="M22" s="275" t="e">
        <f>$J$22*$M$17</f>
        <v>#REF!</v>
      </c>
      <c r="N22" s="275" t="e">
        <f>$J22*$N$17</f>
        <v>#REF!</v>
      </c>
    </row>
    <row r="23" spans="1:234" ht="15" customHeight="1">
      <c r="A23" s="1090" t="s">
        <v>175</v>
      </c>
      <c r="B23" s="1091"/>
      <c r="C23" s="1091"/>
      <c r="D23" s="1091"/>
      <c r="E23" s="1091"/>
      <c r="F23" s="1091"/>
      <c r="G23" s="1091"/>
      <c r="H23" s="1091"/>
      <c r="I23" s="1092"/>
      <c r="J23" s="149">
        <f>SUM(J21:J22)</f>
        <v>0.1111111111111111</v>
      </c>
      <c r="K23" s="180" t="e">
        <f>SUM(K21:K22)</f>
        <v>#REF!</v>
      </c>
      <c r="L23" s="180" t="e">
        <f>SUM(L21:L22)</f>
        <v>#REF!</v>
      </c>
      <c r="M23" s="180" t="e">
        <f>SUM(M21:M22)</f>
        <v>#REF!</v>
      </c>
      <c r="N23" s="180" t="e">
        <f>SUM(N21:N22)</f>
        <v>#REF!</v>
      </c>
      <c r="O23" s="150"/>
      <c r="P23" s="150"/>
      <c r="Q23" s="150"/>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c r="BI23" s="150"/>
      <c r="BJ23" s="150"/>
      <c r="BK23" s="150"/>
      <c r="BL23" s="150"/>
      <c r="BM23" s="150"/>
      <c r="BN23" s="150"/>
      <c r="BO23" s="150"/>
      <c r="BP23" s="150"/>
      <c r="BQ23" s="150"/>
      <c r="BR23" s="150"/>
      <c r="BS23" s="150"/>
      <c r="BT23" s="150"/>
      <c r="BU23" s="150"/>
      <c r="BV23" s="150"/>
      <c r="BW23" s="150"/>
      <c r="BX23" s="150"/>
      <c r="BY23" s="150"/>
      <c r="BZ23" s="150"/>
      <c r="CA23" s="150"/>
      <c r="CB23" s="150"/>
      <c r="CC23" s="150"/>
      <c r="CD23" s="150"/>
      <c r="CE23" s="150"/>
      <c r="CF23" s="150"/>
      <c r="CG23" s="151"/>
      <c r="CH23" s="151"/>
      <c r="CI23" s="151"/>
      <c r="CJ23" s="151"/>
      <c r="CK23" s="151"/>
      <c r="CL23" s="151"/>
      <c r="CM23" s="151"/>
      <c r="CN23" s="151"/>
      <c r="CO23" s="151"/>
      <c r="CP23" s="151"/>
      <c r="CQ23" s="151"/>
      <c r="CR23" s="151"/>
      <c r="CS23" s="151"/>
      <c r="CT23" s="151"/>
      <c r="CU23" s="151"/>
      <c r="CV23" s="151"/>
      <c r="CW23" s="151"/>
      <c r="CX23" s="151"/>
      <c r="CY23" s="151"/>
      <c r="CZ23" s="151"/>
      <c r="DA23" s="151"/>
      <c r="DB23" s="151"/>
      <c r="DC23" s="151"/>
      <c r="DD23" s="151"/>
      <c r="DE23" s="151"/>
      <c r="DF23" s="151"/>
      <c r="DG23" s="151"/>
      <c r="DH23" s="151"/>
      <c r="DI23" s="151"/>
      <c r="DJ23" s="151"/>
      <c r="DK23" s="151"/>
      <c r="DL23" s="151"/>
      <c r="DM23" s="151"/>
      <c r="DN23" s="151"/>
      <c r="DO23" s="151"/>
      <c r="DP23" s="151"/>
      <c r="DQ23" s="151"/>
      <c r="DR23" s="151"/>
      <c r="DS23" s="151"/>
      <c r="DT23" s="151"/>
      <c r="DU23" s="151"/>
      <c r="DV23" s="151"/>
      <c r="DW23" s="151"/>
      <c r="DX23" s="151"/>
      <c r="DY23" s="151"/>
      <c r="DZ23" s="151"/>
      <c r="EA23" s="151"/>
      <c r="EB23" s="151"/>
      <c r="EC23" s="151"/>
      <c r="ED23" s="151"/>
      <c r="EE23" s="151"/>
      <c r="EF23" s="151"/>
      <c r="EG23" s="151"/>
      <c r="EH23" s="151"/>
      <c r="EI23" s="151"/>
      <c r="EJ23" s="151"/>
      <c r="EK23" s="151"/>
      <c r="EL23" s="151"/>
      <c r="EM23" s="151"/>
      <c r="EN23" s="151"/>
      <c r="EO23" s="151"/>
      <c r="EP23" s="151"/>
      <c r="EQ23" s="151"/>
      <c r="ER23" s="151"/>
      <c r="ES23" s="151"/>
      <c r="ET23" s="151"/>
      <c r="EU23" s="151"/>
      <c r="EV23" s="151"/>
      <c r="EW23" s="151"/>
      <c r="EX23" s="151"/>
      <c r="EY23" s="151"/>
      <c r="EZ23" s="151"/>
      <c r="FA23" s="151"/>
      <c r="FB23" s="151"/>
      <c r="FC23" s="151"/>
      <c r="FD23" s="151"/>
      <c r="FE23" s="151"/>
      <c r="FF23" s="151"/>
      <c r="FG23" s="151"/>
      <c r="FH23" s="151"/>
      <c r="FI23" s="151"/>
      <c r="FJ23" s="151"/>
      <c r="FK23" s="151"/>
      <c r="FL23" s="151"/>
      <c r="FM23" s="151"/>
      <c r="FN23" s="151"/>
      <c r="FO23" s="151"/>
      <c r="FP23" s="151"/>
      <c r="FQ23" s="151"/>
      <c r="FR23" s="151"/>
      <c r="FS23" s="151"/>
      <c r="FT23" s="151"/>
      <c r="FU23" s="151"/>
      <c r="FV23" s="151"/>
      <c r="FW23" s="151"/>
      <c r="FX23" s="151"/>
      <c r="FY23" s="151"/>
      <c r="FZ23" s="151"/>
      <c r="GA23" s="151"/>
      <c r="GB23" s="151"/>
      <c r="GC23" s="151"/>
      <c r="GD23" s="151"/>
      <c r="GE23" s="151"/>
      <c r="GF23" s="151"/>
      <c r="GG23" s="151"/>
      <c r="GH23" s="151"/>
      <c r="GI23" s="151"/>
      <c r="GJ23" s="151"/>
      <c r="GK23" s="151"/>
      <c r="GL23" s="151"/>
      <c r="GM23" s="151"/>
      <c r="GN23" s="151"/>
      <c r="GO23" s="151"/>
      <c r="GP23" s="151"/>
      <c r="GQ23" s="151"/>
      <c r="GR23" s="151"/>
      <c r="GS23" s="151"/>
      <c r="GT23" s="151"/>
      <c r="GU23" s="151"/>
      <c r="GV23" s="151"/>
      <c r="GW23" s="151"/>
      <c r="GX23" s="151"/>
      <c r="GY23" s="151"/>
      <c r="GZ23" s="151"/>
      <c r="HA23" s="151"/>
      <c r="HB23" s="151"/>
      <c r="HC23" s="151"/>
      <c r="HD23" s="151"/>
      <c r="HE23" s="151"/>
      <c r="HF23" s="151"/>
      <c r="HG23" s="151"/>
      <c r="HH23" s="151"/>
      <c r="HI23" s="151"/>
      <c r="HJ23" s="151"/>
      <c r="HK23" s="151"/>
      <c r="HL23" s="151"/>
      <c r="HM23" s="151"/>
      <c r="HN23" s="151"/>
      <c r="HO23" s="151"/>
      <c r="HP23" s="151"/>
      <c r="HQ23" s="151"/>
      <c r="HR23" s="151"/>
      <c r="HS23" s="151"/>
      <c r="HT23" s="151"/>
      <c r="HU23" s="151"/>
      <c r="HV23" s="151"/>
      <c r="HW23" s="151"/>
      <c r="HX23" s="151"/>
      <c r="HY23" s="151"/>
      <c r="HZ23" s="151"/>
    </row>
    <row r="24" spans="1:234" ht="15" customHeight="1">
      <c r="A24" s="206" t="s">
        <v>990</v>
      </c>
      <c r="B24" s="207"/>
      <c r="C24" s="207"/>
      <c r="D24" s="207"/>
      <c r="E24" s="207"/>
      <c r="F24" s="207"/>
      <c r="G24" s="165"/>
      <c r="H24" s="165"/>
      <c r="I24" s="226"/>
      <c r="J24" s="282"/>
      <c r="K24" s="172" t="s">
        <v>830</v>
      </c>
      <c r="L24" s="172" t="s">
        <v>830</v>
      </c>
      <c r="M24" s="172" t="s">
        <v>830</v>
      </c>
      <c r="N24" s="172" t="s">
        <v>830</v>
      </c>
    </row>
    <row r="25" spans="1:234" ht="15" customHeight="1">
      <c r="A25" s="215" t="s">
        <v>863</v>
      </c>
      <c r="B25" s="227"/>
      <c r="C25" s="227"/>
      <c r="D25" s="227"/>
      <c r="E25" s="227"/>
      <c r="F25" s="227"/>
      <c r="G25" s="227"/>
      <c r="H25" s="227"/>
      <c r="I25" s="227"/>
      <c r="J25" s="147"/>
      <c r="K25" s="229" t="e">
        <f>K17</f>
        <v>#REF!</v>
      </c>
      <c r="L25" s="229" t="e">
        <f>L17</f>
        <v>#REF!</v>
      </c>
      <c r="M25" s="229" t="e">
        <f>M17</f>
        <v>#REF!</v>
      </c>
      <c r="N25" s="229" t="e">
        <f>N17</f>
        <v>#REF!</v>
      </c>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50"/>
      <c r="BS25" s="150"/>
      <c r="BT25" s="150"/>
      <c r="BU25" s="150"/>
      <c r="BV25" s="150"/>
      <c r="BW25" s="150"/>
      <c r="BX25" s="150"/>
      <c r="BY25" s="150"/>
      <c r="BZ25" s="150"/>
      <c r="CA25" s="150"/>
      <c r="CB25" s="150"/>
      <c r="CC25" s="150"/>
      <c r="CD25" s="150"/>
      <c r="CE25" s="150"/>
      <c r="CF25" s="150"/>
      <c r="CG25" s="151"/>
      <c r="CH25" s="151"/>
      <c r="CI25" s="151"/>
      <c r="CJ25" s="151"/>
      <c r="CK25" s="151"/>
      <c r="CL25" s="151"/>
      <c r="CM25" s="151"/>
      <c r="CN25" s="151"/>
      <c r="CO25" s="151"/>
      <c r="CP25" s="151"/>
      <c r="CQ25" s="151"/>
      <c r="CR25" s="151"/>
      <c r="CS25" s="151"/>
      <c r="CT25" s="151"/>
      <c r="CU25" s="151"/>
      <c r="CV25" s="151"/>
      <c r="CW25" s="151"/>
      <c r="CX25" s="151"/>
      <c r="CY25" s="151"/>
      <c r="CZ25" s="151"/>
      <c r="DA25" s="151"/>
      <c r="DB25" s="151"/>
      <c r="DC25" s="151"/>
      <c r="DD25" s="151"/>
      <c r="DE25" s="151"/>
      <c r="DF25" s="151"/>
      <c r="DG25" s="151"/>
      <c r="DH25" s="151"/>
      <c r="DI25" s="151"/>
      <c r="DJ25" s="151"/>
      <c r="DK25" s="151"/>
      <c r="DL25" s="151"/>
      <c r="DM25" s="151"/>
      <c r="DN25" s="151"/>
      <c r="DO25" s="151"/>
      <c r="DP25" s="151"/>
      <c r="DQ25" s="151"/>
      <c r="DR25" s="151"/>
      <c r="DS25" s="151"/>
      <c r="DT25" s="151"/>
      <c r="DU25" s="151"/>
      <c r="DV25" s="151"/>
      <c r="DW25" s="151"/>
      <c r="DX25" s="151"/>
      <c r="DY25" s="151"/>
      <c r="DZ25" s="151"/>
      <c r="EA25" s="151"/>
      <c r="EB25" s="151"/>
      <c r="EC25" s="151"/>
      <c r="ED25" s="151"/>
      <c r="EE25" s="151"/>
      <c r="EF25" s="151"/>
      <c r="EG25" s="151"/>
      <c r="EH25" s="151"/>
      <c r="EI25" s="151"/>
      <c r="EJ25" s="151"/>
      <c r="EK25" s="151"/>
      <c r="EL25" s="151"/>
      <c r="EM25" s="151"/>
      <c r="EN25" s="151"/>
      <c r="EO25" s="151"/>
      <c r="EP25" s="151"/>
      <c r="EQ25" s="151"/>
      <c r="ER25" s="151"/>
      <c r="ES25" s="151"/>
      <c r="ET25" s="151"/>
      <c r="EU25" s="151"/>
      <c r="EV25" s="151"/>
      <c r="EW25" s="151"/>
      <c r="EX25" s="151"/>
      <c r="EY25" s="151"/>
      <c r="EZ25" s="151"/>
      <c r="FA25" s="151"/>
      <c r="FB25" s="151"/>
      <c r="FC25" s="151"/>
      <c r="FD25" s="151"/>
      <c r="FE25" s="151"/>
      <c r="FF25" s="151"/>
      <c r="FG25" s="151"/>
      <c r="FH25" s="151"/>
      <c r="FI25" s="151"/>
      <c r="FJ25" s="151"/>
      <c r="FK25" s="151"/>
      <c r="FL25" s="151"/>
      <c r="FM25" s="151"/>
      <c r="FN25" s="151"/>
      <c r="FO25" s="151"/>
      <c r="FP25" s="151"/>
      <c r="FQ25" s="151"/>
      <c r="FR25" s="151"/>
      <c r="FS25" s="151"/>
      <c r="FT25" s="151"/>
      <c r="FU25" s="151"/>
      <c r="FV25" s="151"/>
      <c r="FW25" s="151"/>
      <c r="FX25" s="151"/>
      <c r="FY25" s="151"/>
      <c r="FZ25" s="151"/>
      <c r="GA25" s="151"/>
      <c r="GB25" s="151"/>
      <c r="GC25" s="151"/>
      <c r="GD25" s="151"/>
      <c r="GE25" s="151"/>
      <c r="GF25" s="151"/>
      <c r="GG25" s="151"/>
      <c r="GH25" s="151"/>
      <c r="GI25" s="151"/>
      <c r="GJ25" s="151"/>
      <c r="GK25" s="151"/>
      <c r="GL25" s="151"/>
      <c r="GM25" s="151"/>
      <c r="GN25" s="151"/>
      <c r="GO25" s="151"/>
      <c r="GP25" s="151"/>
      <c r="GQ25" s="151"/>
      <c r="GR25" s="151"/>
      <c r="GS25" s="151"/>
      <c r="GT25" s="151"/>
      <c r="GU25" s="151"/>
      <c r="GV25" s="151"/>
      <c r="GW25" s="151"/>
      <c r="GX25" s="151"/>
      <c r="GY25" s="151"/>
      <c r="GZ25" s="151"/>
      <c r="HA25" s="151"/>
      <c r="HB25" s="151"/>
      <c r="HC25" s="151"/>
      <c r="HD25" s="151"/>
      <c r="HE25" s="151"/>
      <c r="HF25" s="151"/>
      <c r="HG25" s="151"/>
      <c r="HH25" s="151"/>
      <c r="HI25" s="151"/>
      <c r="HJ25" s="151"/>
      <c r="HK25" s="151"/>
      <c r="HL25" s="151"/>
      <c r="HM25" s="151"/>
      <c r="HN25" s="151"/>
      <c r="HO25" s="151"/>
      <c r="HP25" s="151"/>
      <c r="HQ25" s="151"/>
      <c r="HR25" s="151"/>
      <c r="HS25" s="151"/>
      <c r="HT25" s="151"/>
      <c r="HU25" s="151"/>
      <c r="HV25" s="151"/>
      <c r="HW25" s="151"/>
      <c r="HX25" s="151"/>
      <c r="HY25" s="151"/>
      <c r="HZ25" s="151"/>
    </row>
    <row r="26" spans="1:234" ht="15" customHeight="1">
      <c r="A26" s="216" t="s">
        <v>991</v>
      </c>
      <c r="B26" s="128"/>
      <c r="C26" s="128"/>
      <c r="D26" s="128"/>
      <c r="E26" s="128"/>
      <c r="F26" s="128"/>
      <c r="G26" s="128"/>
      <c r="H26" s="128"/>
      <c r="I26" s="128"/>
      <c r="J26" s="179"/>
      <c r="K26" s="181" t="e">
        <f>K23</f>
        <v>#REF!</v>
      </c>
      <c r="L26" s="181" t="e">
        <f>L23</f>
        <v>#REF!</v>
      </c>
      <c r="M26" s="181" t="e">
        <f>M23</f>
        <v>#REF!</v>
      </c>
      <c r="N26" s="181" t="e">
        <f>N23</f>
        <v>#REF!</v>
      </c>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c r="BI26" s="150"/>
      <c r="BJ26" s="150"/>
      <c r="BK26" s="150"/>
      <c r="BL26" s="150"/>
      <c r="BM26" s="150"/>
      <c r="BN26" s="150"/>
      <c r="BO26" s="150"/>
      <c r="BP26" s="150"/>
      <c r="BQ26" s="150"/>
      <c r="BR26" s="150"/>
      <c r="BS26" s="150"/>
      <c r="BT26" s="150"/>
      <c r="BU26" s="150"/>
      <c r="BV26" s="150"/>
      <c r="BW26" s="150"/>
      <c r="BX26" s="150"/>
      <c r="BY26" s="150"/>
      <c r="BZ26" s="150"/>
      <c r="CA26" s="150"/>
      <c r="CB26" s="150"/>
      <c r="CC26" s="150"/>
      <c r="CD26" s="150"/>
      <c r="CE26" s="150"/>
      <c r="CF26" s="150"/>
      <c r="CG26" s="151"/>
      <c r="CH26" s="151"/>
      <c r="CI26" s="151"/>
      <c r="CJ26" s="151"/>
      <c r="CK26" s="151"/>
      <c r="CL26" s="151"/>
      <c r="CM26" s="151"/>
      <c r="CN26" s="151"/>
      <c r="CO26" s="151"/>
      <c r="CP26" s="151"/>
      <c r="CQ26" s="151"/>
      <c r="CR26" s="151"/>
      <c r="CS26" s="151"/>
      <c r="CT26" s="151"/>
      <c r="CU26" s="151"/>
      <c r="CV26" s="151"/>
      <c r="CW26" s="151"/>
      <c r="CX26" s="151"/>
      <c r="CY26" s="151"/>
      <c r="CZ26" s="151"/>
      <c r="DA26" s="151"/>
      <c r="DB26" s="151"/>
      <c r="DC26" s="151"/>
      <c r="DD26" s="151"/>
      <c r="DE26" s="151"/>
      <c r="DF26" s="151"/>
      <c r="DG26" s="151"/>
      <c r="DH26" s="151"/>
      <c r="DI26" s="151"/>
      <c r="DJ26" s="151"/>
      <c r="DK26" s="151"/>
      <c r="DL26" s="151"/>
      <c r="DM26" s="151"/>
      <c r="DN26" s="151"/>
      <c r="DO26" s="151"/>
      <c r="DP26" s="151"/>
      <c r="DQ26" s="151"/>
      <c r="DR26" s="151"/>
      <c r="DS26" s="151"/>
      <c r="DT26" s="151"/>
      <c r="DU26" s="151"/>
      <c r="DV26" s="151"/>
      <c r="DW26" s="151"/>
      <c r="DX26" s="151"/>
      <c r="DY26" s="151"/>
      <c r="DZ26" s="151"/>
      <c r="EA26" s="151"/>
      <c r="EB26" s="151"/>
      <c r="EC26" s="151"/>
      <c r="ED26" s="151"/>
      <c r="EE26" s="151"/>
      <c r="EF26" s="151"/>
      <c r="EG26" s="151"/>
      <c r="EH26" s="151"/>
      <c r="EI26" s="151"/>
      <c r="EJ26" s="151"/>
      <c r="EK26" s="151"/>
      <c r="EL26" s="151"/>
      <c r="EM26" s="151"/>
      <c r="EN26" s="151"/>
      <c r="EO26" s="151"/>
      <c r="EP26" s="151"/>
      <c r="EQ26" s="151"/>
      <c r="ER26" s="151"/>
      <c r="ES26" s="151"/>
      <c r="ET26" s="151"/>
      <c r="EU26" s="151"/>
      <c r="EV26" s="151"/>
      <c r="EW26" s="151"/>
      <c r="EX26" s="151"/>
      <c r="EY26" s="151"/>
      <c r="EZ26" s="151"/>
      <c r="FA26" s="151"/>
      <c r="FB26" s="151"/>
      <c r="FC26" s="151"/>
      <c r="FD26" s="151"/>
      <c r="FE26" s="151"/>
      <c r="FF26" s="151"/>
      <c r="FG26" s="151"/>
      <c r="FH26" s="151"/>
      <c r="FI26" s="151"/>
      <c r="FJ26" s="151"/>
      <c r="FK26" s="151"/>
      <c r="FL26" s="151"/>
      <c r="FM26" s="151"/>
      <c r="FN26" s="151"/>
      <c r="FO26" s="151"/>
      <c r="FP26" s="151"/>
      <c r="FQ26" s="151"/>
      <c r="FR26" s="151"/>
      <c r="FS26" s="151"/>
      <c r="FT26" s="151"/>
      <c r="FU26" s="151"/>
      <c r="FV26" s="151"/>
      <c r="FW26" s="151"/>
      <c r="FX26" s="151"/>
      <c r="FY26" s="151"/>
      <c r="FZ26" s="151"/>
      <c r="GA26" s="151"/>
      <c r="GB26" s="151"/>
      <c r="GC26" s="151"/>
      <c r="GD26" s="151"/>
      <c r="GE26" s="151"/>
      <c r="GF26" s="151"/>
      <c r="GG26" s="151"/>
      <c r="GH26" s="151"/>
      <c r="GI26" s="151"/>
      <c r="GJ26" s="151"/>
      <c r="GK26" s="151"/>
      <c r="GL26" s="151"/>
      <c r="GM26" s="151"/>
      <c r="GN26" s="151"/>
      <c r="GO26" s="151"/>
      <c r="GP26" s="151"/>
      <c r="GQ26" s="151"/>
      <c r="GR26" s="151"/>
      <c r="GS26" s="151"/>
      <c r="GT26" s="151"/>
      <c r="GU26" s="151"/>
      <c r="GV26" s="151"/>
      <c r="GW26" s="151"/>
      <c r="GX26" s="151"/>
      <c r="GY26" s="151"/>
      <c r="GZ26" s="151"/>
      <c r="HA26" s="151"/>
      <c r="HB26" s="151"/>
      <c r="HC26" s="151"/>
      <c r="HD26" s="151"/>
      <c r="HE26" s="151"/>
      <c r="HF26" s="151"/>
      <c r="HG26" s="151"/>
      <c r="HH26" s="151"/>
      <c r="HI26" s="151"/>
      <c r="HJ26" s="151"/>
      <c r="HK26" s="151"/>
      <c r="HL26" s="151"/>
      <c r="HM26" s="151"/>
      <c r="HN26" s="151"/>
      <c r="HO26" s="151"/>
      <c r="HP26" s="151"/>
      <c r="HQ26" s="151"/>
      <c r="HR26" s="151"/>
      <c r="HS26" s="151"/>
      <c r="HT26" s="151"/>
      <c r="HU26" s="151"/>
      <c r="HV26" s="151"/>
      <c r="HW26" s="151"/>
      <c r="HX26" s="151"/>
      <c r="HY26" s="151"/>
      <c r="HZ26" s="151"/>
    </row>
    <row r="27" spans="1:234" ht="14.1" customHeight="1">
      <c r="A27" s="1093" t="s">
        <v>175</v>
      </c>
      <c r="B27" s="1094"/>
      <c r="C27" s="1094"/>
      <c r="D27" s="1094"/>
      <c r="E27" s="1094"/>
      <c r="F27" s="1094"/>
      <c r="G27" s="1094"/>
      <c r="H27" s="1094"/>
      <c r="I27" s="1094"/>
      <c r="J27" s="248"/>
      <c r="K27" s="249" t="e">
        <f>SUM(K25:K26)</f>
        <v>#REF!</v>
      </c>
      <c r="L27" s="249" t="e">
        <f>SUM(L25:L26)</f>
        <v>#REF!</v>
      </c>
      <c r="M27" s="249" t="e">
        <f>SUM(M25:M26)</f>
        <v>#REF!</v>
      </c>
      <c r="N27" s="249" t="e">
        <f>SUM(N25:N26)</f>
        <v>#REF!</v>
      </c>
    </row>
    <row r="28" spans="1:234" ht="31.5" customHeight="1">
      <c r="A28" s="1095" t="s">
        <v>154</v>
      </c>
      <c r="B28" s="1095"/>
      <c r="C28" s="1095"/>
      <c r="D28" s="1095"/>
      <c r="E28" s="1095"/>
      <c r="F28" s="1095"/>
      <c r="G28" s="1095"/>
      <c r="H28" s="1095"/>
      <c r="I28" s="1095"/>
      <c r="J28" s="282" t="s">
        <v>156</v>
      </c>
      <c r="K28" s="172" t="s">
        <v>830</v>
      </c>
      <c r="L28" s="172" t="s">
        <v>830</v>
      </c>
      <c r="M28" s="172" t="s">
        <v>830</v>
      </c>
      <c r="N28" s="172" t="s">
        <v>830</v>
      </c>
    </row>
    <row r="29" spans="1:234">
      <c r="A29" s="189" t="s">
        <v>155</v>
      </c>
      <c r="B29" s="228"/>
      <c r="C29" s="228"/>
      <c r="D29" s="228"/>
      <c r="E29" s="228"/>
      <c r="F29" s="164"/>
      <c r="G29" s="164"/>
      <c r="H29" s="164"/>
      <c r="I29" s="343"/>
      <c r="J29" s="163"/>
      <c r="K29" s="224"/>
      <c r="L29" s="224"/>
      <c r="M29" s="224"/>
      <c r="N29" s="224"/>
    </row>
    <row r="30" spans="1:234" ht="14.25" customHeight="1">
      <c r="A30" s="255" t="s">
        <v>157</v>
      </c>
      <c r="B30" s="157" t="s">
        <v>158</v>
      </c>
      <c r="C30" s="157"/>
      <c r="D30" s="157"/>
      <c r="E30" s="157"/>
      <c r="F30" s="157"/>
      <c r="G30" s="157"/>
      <c r="H30" s="157"/>
      <c r="I30" s="130"/>
      <c r="J30" s="290" t="e">
        <f>'Dados - Composição PCFP'!#REF!</f>
        <v>#REF!</v>
      </c>
      <c r="K30" s="273" t="e">
        <f t="shared" ref="K30:K37" si="0">$J30*$K$27</f>
        <v>#REF!</v>
      </c>
      <c r="L30" s="273" t="e">
        <f t="shared" ref="L30:L37" si="1">$J30*$L$27</f>
        <v>#REF!</v>
      </c>
      <c r="M30" s="273" t="e">
        <f t="shared" ref="M30:M37" si="2">$J30*$M$27</f>
        <v>#REF!</v>
      </c>
      <c r="N30" s="273" t="e">
        <f t="shared" ref="N30:N37" si="3">$J30*$N$27</f>
        <v>#REF!</v>
      </c>
    </row>
    <row r="31" spans="1:234">
      <c r="A31" s="283" t="s">
        <v>159</v>
      </c>
      <c r="B31" s="128" t="s">
        <v>160</v>
      </c>
      <c r="C31" s="128"/>
      <c r="D31" s="128"/>
      <c r="E31" s="128"/>
      <c r="F31" s="128"/>
      <c r="G31" s="128"/>
      <c r="H31" s="128"/>
      <c r="I31" s="128"/>
      <c r="J31" s="290" t="e">
        <f>'Dados - Composição PCFP'!#REF!</f>
        <v>#REF!</v>
      </c>
      <c r="K31" s="275" t="e">
        <f t="shared" si="0"/>
        <v>#REF!</v>
      </c>
      <c r="L31" s="275" t="e">
        <f t="shared" si="1"/>
        <v>#REF!</v>
      </c>
      <c r="M31" s="182" t="e">
        <f t="shared" si="2"/>
        <v>#REF!</v>
      </c>
      <c r="N31" s="275" t="e">
        <f t="shared" si="3"/>
        <v>#REF!</v>
      </c>
    </row>
    <row r="32" spans="1:234" ht="14.25" customHeight="1">
      <c r="A32" s="283" t="s">
        <v>161</v>
      </c>
      <c r="B32" s="287" t="s">
        <v>992</v>
      </c>
      <c r="C32" s="288"/>
      <c r="D32" s="288"/>
      <c r="E32" s="288"/>
      <c r="F32" s="286"/>
      <c r="G32" s="128"/>
      <c r="H32" s="128"/>
      <c r="I32" s="289"/>
      <c r="J32" s="290" t="e">
        <f>'Dados - Composição PCFP'!#REF!</f>
        <v>#REF!</v>
      </c>
      <c r="K32" s="275" t="e">
        <f t="shared" si="0"/>
        <v>#REF!</v>
      </c>
      <c r="L32" s="275" t="e">
        <f t="shared" si="1"/>
        <v>#REF!</v>
      </c>
      <c r="M32" s="275" t="e">
        <f t="shared" si="2"/>
        <v>#REF!</v>
      </c>
      <c r="N32" s="275" t="e">
        <f t="shared" si="3"/>
        <v>#REF!</v>
      </c>
    </row>
    <row r="33" spans="1:234" ht="14.1" customHeight="1">
      <c r="A33" s="283" t="s">
        <v>165</v>
      </c>
      <c r="B33" s="128" t="s">
        <v>166</v>
      </c>
      <c r="C33" s="128"/>
      <c r="D33" s="128"/>
      <c r="E33" s="128"/>
      <c r="F33" s="128"/>
      <c r="G33" s="128"/>
      <c r="H33" s="128"/>
      <c r="I33" s="153"/>
      <c r="J33" s="290" t="e">
        <f>'Dados - Composição PCFP'!#REF!</f>
        <v>#REF!</v>
      </c>
      <c r="K33" s="275" t="e">
        <f t="shared" si="0"/>
        <v>#REF!</v>
      </c>
      <c r="L33" s="275" t="e">
        <f t="shared" si="1"/>
        <v>#REF!</v>
      </c>
      <c r="M33" s="275" t="e">
        <f t="shared" si="2"/>
        <v>#REF!</v>
      </c>
      <c r="N33" s="275" t="e">
        <f t="shared" si="3"/>
        <v>#REF!</v>
      </c>
    </row>
    <row r="34" spans="1:234" ht="14.1" customHeight="1">
      <c r="A34" s="283" t="s">
        <v>167</v>
      </c>
      <c r="B34" s="128" t="s">
        <v>168</v>
      </c>
      <c r="C34" s="128"/>
      <c r="D34" s="128"/>
      <c r="E34" s="128"/>
      <c r="F34" s="128"/>
      <c r="G34" s="128"/>
      <c r="H34" s="128"/>
      <c r="I34" s="153"/>
      <c r="J34" s="290" t="e">
        <f>'Dados - Composição PCFP'!#REF!</f>
        <v>#REF!</v>
      </c>
      <c r="K34" s="275" t="e">
        <f t="shared" si="0"/>
        <v>#REF!</v>
      </c>
      <c r="L34" s="275" t="e">
        <f t="shared" si="1"/>
        <v>#REF!</v>
      </c>
      <c r="M34" s="275" t="e">
        <f t="shared" si="2"/>
        <v>#REF!</v>
      </c>
      <c r="N34" s="275" t="e">
        <f t="shared" si="3"/>
        <v>#REF!</v>
      </c>
    </row>
    <row r="35" spans="1:234" ht="14.1" customHeight="1">
      <c r="A35" s="283" t="s">
        <v>169</v>
      </c>
      <c r="B35" s="128" t="s">
        <v>170</v>
      </c>
      <c r="C35" s="128"/>
      <c r="D35" s="128"/>
      <c r="E35" s="128"/>
      <c r="F35" s="128"/>
      <c r="G35" s="128"/>
      <c r="H35" s="128"/>
      <c r="I35" s="153"/>
      <c r="J35" s="290" t="e">
        <f>'Dados - Composição PCFP'!#REF!</f>
        <v>#REF!</v>
      </c>
      <c r="K35" s="275" t="e">
        <f t="shared" si="0"/>
        <v>#REF!</v>
      </c>
      <c r="L35" s="275" t="e">
        <f t="shared" si="1"/>
        <v>#REF!</v>
      </c>
      <c r="M35" s="275" t="e">
        <f t="shared" si="2"/>
        <v>#REF!</v>
      </c>
      <c r="N35" s="275" t="e">
        <f t="shared" si="3"/>
        <v>#REF!</v>
      </c>
    </row>
    <row r="36" spans="1:234" ht="14.1" customHeight="1">
      <c r="A36" s="283" t="s">
        <v>171</v>
      </c>
      <c r="B36" s="128" t="s">
        <v>172</v>
      </c>
      <c r="C36" s="128"/>
      <c r="D36" s="128"/>
      <c r="E36" s="128"/>
      <c r="F36" s="128"/>
      <c r="G36" s="128"/>
      <c r="H36" s="128"/>
      <c r="I36" s="153"/>
      <c r="J36" s="290" t="e">
        <f>'Dados - Composição PCFP'!#REF!</f>
        <v>#REF!</v>
      </c>
      <c r="K36" s="275" t="e">
        <f t="shared" si="0"/>
        <v>#REF!</v>
      </c>
      <c r="L36" s="275" t="e">
        <f t="shared" si="1"/>
        <v>#REF!</v>
      </c>
      <c r="M36" s="275" t="e">
        <f t="shared" si="2"/>
        <v>#REF!</v>
      </c>
      <c r="N36" s="275" t="e">
        <f t="shared" si="3"/>
        <v>#REF!</v>
      </c>
    </row>
    <row r="37" spans="1:234" ht="14.1" customHeight="1">
      <c r="A37" s="256" t="s">
        <v>173</v>
      </c>
      <c r="B37" s="141" t="s">
        <v>174</v>
      </c>
      <c r="C37" s="141"/>
      <c r="D37" s="141"/>
      <c r="E37" s="141"/>
      <c r="F37" s="141"/>
      <c r="G37" s="141"/>
      <c r="H37" s="141"/>
      <c r="I37" s="156"/>
      <c r="J37" s="290" t="e">
        <f>'Dados - Composição PCFP'!#REF!</f>
        <v>#REF!</v>
      </c>
      <c r="K37" s="275" t="e">
        <f t="shared" si="0"/>
        <v>#REF!</v>
      </c>
      <c r="L37" s="275" t="e">
        <f t="shared" si="1"/>
        <v>#REF!</v>
      </c>
      <c r="M37" s="275" t="e">
        <f t="shared" si="2"/>
        <v>#REF!</v>
      </c>
      <c r="N37" s="275" t="e">
        <f t="shared" si="3"/>
        <v>#REF!</v>
      </c>
    </row>
    <row r="38" spans="1:234" ht="15" customHeight="1">
      <c r="A38" s="260" t="s">
        <v>175</v>
      </c>
      <c r="B38" s="247"/>
      <c r="C38" s="247"/>
      <c r="D38" s="247"/>
      <c r="E38" s="247"/>
      <c r="F38" s="247"/>
      <c r="G38" s="247"/>
      <c r="H38" s="247"/>
      <c r="I38" s="261"/>
      <c r="J38" s="290" t="e">
        <f>SUM(J30:J37)</f>
        <v>#REF!</v>
      </c>
      <c r="K38" s="249" t="e">
        <f>SUM(K30:K37)</f>
        <v>#REF!</v>
      </c>
      <c r="L38" s="249" t="e">
        <f>SUM(L30:L37)</f>
        <v>#REF!</v>
      </c>
      <c r="M38" s="249" t="e">
        <f>SUM(M30:M37)</f>
        <v>#REF!</v>
      </c>
      <c r="N38" s="249" t="e">
        <f>SUM(N30:N37)</f>
        <v>#REF!</v>
      </c>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50"/>
      <c r="AL38" s="150"/>
      <c r="AM38" s="150"/>
      <c r="AN38" s="150"/>
      <c r="AO38" s="150"/>
      <c r="AP38" s="150"/>
      <c r="AQ38" s="150"/>
      <c r="AR38" s="150"/>
      <c r="AS38" s="150"/>
      <c r="AT38" s="150"/>
      <c r="AU38" s="150"/>
      <c r="AV38" s="150"/>
      <c r="AW38" s="150"/>
      <c r="AX38" s="150"/>
      <c r="AY38" s="150"/>
      <c r="AZ38" s="150"/>
      <c r="BA38" s="150"/>
      <c r="BB38" s="150"/>
      <c r="BC38" s="150"/>
      <c r="BD38" s="150"/>
      <c r="BE38" s="150"/>
      <c r="BF38" s="150"/>
      <c r="BG38" s="150"/>
      <c r="BH38" s="150"/>
      <c r="BI38" s="150"/>
      <c r="BJ38" s="150"/>
      <c r="BK38" s="150"/>
      <c r="BL38" s="150"/>
      <c r="BM38" s="150"/>
      <c r="BN38" s="150"/>
      <c r="BO38" s="150"/>
      <c r="BP38" s="150"/>
      <c r="BQ38" s="150"/>
      <c r="BR38" s="150"/>
      <c r="BS38" s="150"/>
      <c r="BT38" s="150"/>
      <c r="BU38" s="150"/>
      <c r="BV38" s="150"/>
      <c r="BW38" s="150"/>
      <c r="BX38" s="150"/>
      <c r="BY38" s="150"/>
      <c r="BZ38" s="150"/>
      <c r="CA38" s="150"/>
      <c r="CB38" s="150"/>
      <c r="CC38" s="150"/>
      <c r="CD38" s="150"/>
      <c r="CE38" s="150"/>
      <c r="CF38" s="150"/>
      <c r="CG38" s="151"/>
      <c r="CH38" s="151"/>
      <c r="CI38" s="151"/>
      <c r="CJ38" s="151"/>
      <c r="CK38" s="151"/>
      <c r="CL38" s="151"/>
      <c r="CM38" s="151"/>
      <c r="CN38" s="151"/>
      <c r="CO38" s="151"/>
      <c r="CP38" s="151"/>
      <c r="CQ38" s="151"/>
      <c r="CR38" s="151"/>
      <c r="CS38" s="151"/>
      <c r="CT38" s="151"/>
      <c r="CU38" s="151"/>
      <c r="CV38" s="151"/>
      <c r="CW38" s="151"/>
      <c r="CX38" s="151"/>
      <c r="CY38" s="151"/>
      <c r="CZ38" s="151"/>
      <c r="DA38" s="151"/>
      <c r="DB38" s="151"/>
      <c r="DC38" s="151"/>
      <c r="DD38" s="151"/>
      <c r="DE38" s="151"/>
      <c r="DF38" s="151"/>
      <c r="DG38" s="151"/>
      <c r="DH38" s="151"/>
      <c r="DI38" s="151"/>
      <c r="DJ38" s="151"/>
      <c r="DK38" s="151"/>
      <c r="DL38" s="151"/>
      <c r="DM38" s="151"/>
      <c r="DN38" s="151"/>
      <c r="DO38" s="151"/>
      <c r="DP38" s="151"/>
      <c r="DQ38" s="151"/>
      <c r="DR38" s="151"/>
      <c r="DS38" s="151"/>
      <c r="DT38" s="151"/>
      <c r="DU38" s="151"/>
      <c r="DV38" s="151"/>
      <c r="DW38" s="151"/>
      <c r="DX38" s="151"/>
      <c r="DY38" s="151"/>
      <c r="DZ38" s="151"/>
      <c r="EA38" s="151"/>
      <c r="EB38" s="151"/>
      <c r="EC38" s="151"/>
      <c r="ED38" s="151"/>
      <c r="EE38" s="151"/>
      <c r="EF38" s="151"/>
      <c r="EG38" s="151"/>
      <c r="EH38" s="151"/>
      <c r="EI38" s="151"/>
      <c r="EJ38" s="151"/>
      <c r="EK38" s="151"/>
      <c r="EL38" s="151"/>
      <c r="EM38" s="151"/>
      <c r="EN38" s="151"/>
      <c r="EO38" s="151"/>
      <c r="EP38" s="151"/>
      <c r="EQ38" s="151"/>
      <c r="ER38" s="151"/>
      <c r="ES38" s="151"/>
      <c r="ET38" s="151"/>
      <c r="EU38" s="151"/>
      <c r="EV38" s="151"/>
      <c r="EW38" s="151"/>
      <c r="EX38" s="151"/>
      <c r="EY38" s="151"/>
      <c r="EZ38" s="151"/>
      <c r="FA38" s="151"/>
      <c r="FB38" s="151"/>
      <c r="FC38" s="151"/>
      <c r="FD38" s="151"/>
      <c r="FE38" s="151"/>
      <c r="FF38" s="151"/>
      <c r="FG38" s="151"/>
      <c r="FH38" s="151"/>
      <c r="FI38" s="151"/>
      <c r="FJ38" s="151"/>
      <c r="FK38" s="151"/>
      <c r="FL38" s="151"/>
      <c r="FM38" s="151"/>
      <c r="FN38" s="151"/>
      <c r="FO38" s="151"/>
      <c r="FP38" s="151"/>
      <c r="FQ38" s="151"/>
      <c r="FR38" s="151"/>
      <c r="FS38" s="151"/>
      <c r="FT38" s="151"/>
      <c r="FU38" s="151"/>
      <c r="FV38" s="151"/>
      <c r="FW38" s="151"/>
      <c r="FX38" s="151"/>
      <c r="FY38" s="151"/>
      <c r="FZ38" s="151"/>
      <c r="GA38" s="151"/>
      <c r="GB38" s="151"/>
      <c r="GC38" s="151"/>
      <c r="GD38" s="151"/>
      <c r="GE38" s="151"/>
      <c r="GF38" s="151"/>
      <c r="GG38" s="151"/>
      <c r="GH38" s="151"/>
      <c r="GI38" s="151"/>
      <c r="GJ38" s="151"/>
      <c r="GK38" s="151"/>
      <c r="GL38" s="151"/>
      <c r="GM38" s="151"/>
      <c r="GN38" s="151"/>
      <c r="GO38" s="151"/>
      <c r="GP38" s="151"/>
      <c r="GQ38" s="151"/>
      <c r="GR38" s="151"/>
      <c r="GS38" s="151"/>
      <c r="GT38" s="151"/>
      <c r="GU38" s="151"/>
      <c r="GV38" s="151"/>
      <c r="GW38" s="151"/>
      <c r="GX38" s="151"/>
      <c r="GY38" s="151"/>
      <c r="GZ38" s="151"/>
      <c r="HA38" s="151"/>
      <c r="HB38" s="151"/>
      <c r="HC38" s="151"/>
      <c r="HD38" s="151"/>
      <c r="HE38" s="151"/>
      <c r="HF38" s="151"/>
      <c r="HG38" s="151"/>
      <c r="HH38" s="151"/>
      <c r="HI38" s="151"/>
      <c r="HJ38" s="151"/>
      <c r="HK38" s="151"/>
      <c r="HL38" s="151"/>
      <c r="HM38" s="151"/>
      <c r="HN38" s="151"/>
      <c r="HO38" s="151"/>
      <c r="HP38" s="151"/>
      <c r="HQ38" s="151"/>
      <c r="HR38" s="151"/>
      <c r="HS38" s="151"/>
      <c r="HT38" s="151"/>
      <c r="HU38" s="151"/>
      <c r="HV38" s="151"/>
      <c r="HW38" s="151"/>
      <c r="HX38" s="151"/>
      <c r="HY38" s="151"/>
      <c r="HZ38" s="151"/>
    </row>
    <row r="39" spans="1:234">
      <c r="A39" s="206" t="s">
        <v>843</v>
      </c>
      <c r="B39" s="207"/>
      <c r="C39" s="207"/>
      <c r="D39" s="207"/>
      <c r="E39" s="207"/>
      <c r="F39" s="207"/>
      <c r="G39" s="165"/>
      <c r="H39" s="165"/>
      <c r="I39" s="165"/>
      <c r="J39" s="233"/>
      <c r="K39" s="234" t="s">
        <v>830</v>
      </c>
      <c r="L39" s="234" t="s">
        <v>830</v>
      </c>
      <c r="M39" s="234" t="s">
        <v>830</v>
      </c>
      <c r="N39" s="234" t="s">
        <v>830</v>
      </c>
    </row>
    <row r="40" spans="1:234">
      <c r="A40" s="189" t="s">
        <v>176</v>
      </c>
      <c r="B40" s="253"/>
      <c r="C40" s="253"/>
      <c r="D40" s="178"/>
      <c r="E40" s="178"/>
      <c r="F40" s="164"/>
      <c r="G40" s="164"/>
      <c r="H40" s="164"/>
      <c r="I40" s="343"/>
      <c r="J40" s="164"/>
      <c r="K40" s="343"/>
      <c r="L40" s="343"/>
      <c r="M40" s="343"/>
      <c r="N40" s="343"/>
    </row>
    <row r="41" spans="1:234">
      <c r="A41" s="189" t="s">
        <v>177</v>
      </c>
      <c r="B41" s="259"/>
      <c r="C41" s="259"/>
      <c r="D41" s="259"/>
      <c r="E41" s="259"/>
      <c r="F41" s="259"/>
      <c r="G41" s="259"/>
      <c r="H41" s="259"/>
      <c r="I41" s="259"/>
      <c r="J41" s="259"/>
      <c r="K41" s="273" t="e">
        <f>'Dados - Composição PCFP'!#REF!</f>
        <v>#REF!</v>
      </c>
      <c r="L41" s="273" t="e">
        <f>'Dados - Composição PCFP'!#REF!</f>
        <v>#REF!</v>
      </c>
      <c r="M41" s="271" t="e">
        <f>'Dados - Composição PCFP'!#REF!</f>
        <v>#REF!</v>
      </c>
      <c r="N41" s="185" t="e">
        <f>'Dados - Composição PCFP'!#REF!</f>
        <v>#REF!</v>
      </c>
    </row>
    <row r="42" spans="1:234">
      <c r="A42" s="257" t="s">
        <v>993</v>
      </c>
      <c r="B42" s="143"/>
      <c r="C42" s="143"/>
      <c r="D42" s="143"/>
      <c r="E42" s="143"/>
      <c r="F42" s="143"/>
      <c r="G42" s="143"/>
      <c r="H42" s="143"/>
      <c r="I42" s="143"/>
      <c r="J42" s="262"/>
      <c r="K42" s="274" t="e">
        <f>'Dados - Composição PCFP'!#REF!</f>
        <v>#REF!</v>
      </c>
      <c r="L42" s="274" t="e">
        <f>'Dados - Composição PCFP'!#REF!</f>
        <v>#REF!</v>
      </c>
      <c r="M42" s="326" t="e">
        <f>'Dados - Composição PCFP'!#REF!</f>
        <v>#REF!</v>
      </c>
      <c r="N42" s="185" t="e">
        <f>'Dados - Composição PCFP'!#REF!</f>
        <v>#REF!</v>
      </c>
    </row>
    <row r="43" spans="1:234">
      <c r="A43" s="264" t="s">
        <v>994</v>
      </c>
      <c r="B43" s="228"/>
      <c r="C43" s="228"/>
      <c r="D43" s="228"/>
      <c r="E43" s="228"/>
      <c r="F43" s="228"/>
      <c r="G43" s="228"/>
      <c r="H43" s="228"/>
      <c r="I43" s="247"/>
      <c r="J43" s="266"/>
      <c r="K43" s="274" t="e">
        <f>'Dados - Composição PCFP'!#REF!</f>
        <v>#REF!</v>
      </c>
      <c r="L43" s="274" t="e">
        <f>'Dados - Composição PCFP'!#REF!</f>
        <v>#REF!</v>
      </c>
      <c r="M43" s="277" t="e">
        <f>'Dados - Composição PCFP'!#REF!</f>
        <v>#REF!</v>
      </c>
      <c r="N43" s="185" t="e">
        <f>'Dados - Composição PCFP'!#REF!</f>
        <v>#REF!</v>
      </c>
    </row>
    <row r="44" spans="1:234">
      <c r="A44" s="264" t="s">
        <v>995</v>
      </c>
      <c r="B44" s="228"/>
      <c r="C44" s="228"/>
      <c r="D44" s="228"/>
      <c r="E44" s="228"/>
      <c r="F44" s="228"/>
      <c r="G44" s="228"/>
      <c r="H44" s="228"/>
      <c r="I44" s="228"/>
      <c r="J44" s="265"/>
      <c r="K44" s="274" t="e">
        <f>'Dados - Composição PCFP'!#REF!</f>
        <v>#REF!</v>
      </c>
      <c r="L44" s="274" t="e">
        <f>'Dados - Composição PCFP'!#REF!</f>
        <v>#REF!</v>
      </c>
      <c r="M44" s="326" t="e">
        <f>'Dados - Composição PCFP'!#REF!</f>
        <v>#REF!</v>
      </c>
      <c r="N44" s="185" t="e">
        <f>'Dados - Composição PCFP'!#REF!</f>
        <v>#REF!</v>
      </c>
    </row>
    <row r="45" spans="1:234">
      <c r="A45" s="264" t="s">
        <v>996</v>
      </c>
      <c r="B45" s="228"/>
      <c r="C45" s="228"/>
      <c r="D45" s="228"/>
      <c r="E45" s="228"/>
      <c r="F45" s="228"/>
      <c r="G45" s="228"/>
      <c r="H45" s="228"/>
      <c r="I45" s="228"/>
      <c r="J45" s="265"/>
      <c r="K45" s="274" t="e">
        <f>'Dados - Composição PCFP'!#REF!</f>
        <v>#REF!</v>
      </c>
      <c r="L45" s="274" t="e">
        <f>'Dados - Composição PCFP'!#REF!</f>
        <v>#REF!</v>
      </c>
      <c r="M45" s="326" t="e">
        <f>'Dados - Composição PCFP'!#REF!</f>
        <v>#REF!</v>
      </c>
      <c r="N45" s="185" t="e">
        <f>'Dados - Composição PCFP'!#REF!</f>
        <v>#REF!</v>
      </c>
    </row>
    <row r="46" spans="1:234">
      <c r="A46" s="264" t="s">
        <v>997</v>
      </c>
      <c r="B46" s="228"/>
      <c r="C46" s="228"/>
      <c r="D46" s="228"/>
      <c r="E46" s="228"/>
      <c r="F46" s="228"/>
      <c r="G46" s="228"/>
      <c r="H46" s="228"/>
      <c r="I46" s="228"/>
      <c r="J46" s="265"/>
      <c r="K46" s="274" t="e">
        <f>'Dados - Composição PCFP'!#REF!</f>
        <v>#REF!</v>
      </c>
      <c r="L46" s="274" t="e">
        <f>'Dados - Composição PCFP'!#REF!</f>
        <v>#REF!</v>
      </c>
      <c r="M46" s="326" t="e">
        <f>'Dados - Composição PCFP'!#REF!</f>
        <v>#REF!</v>
      </c>
      <c r="N46" s="185" t="e">
        <f>'Dados - Composição PCFP'!#REF!</f>
        <v>#REF!</v>
      </c>
    </row>
    <row r="47" spans="1:234">
      <c r="A47" s="264" t="s">
        <v>998</v>
      </c>
      <c r="B47" s="228"/>
      <c r="C47" s="228"/>
      <c r="D47" s="228"/>
      <c r="E47" s="228"/>
      <c r="F47" s="228"/>
      <c r="G47" s="228"/>
      <c r="H47" s="228"/>
      <c r="I47" s="228"/>
      <c r="J47" s="265"/>
      <c r="K47" s="291" t="e">
        <f>'Dados - Composição PCFP'!#REF!</f>
        <v>#REF!</v>
      </c>
      <c r="L47" s="291" t="e">
        <f>'Dados - Composição PCFP'!#REF!</f>
        <v>#REF!</v>
      </c>
      <c r="M47" s="327" t="e">
        <f>'Dados - Composição PCFP'!#REF!</f>
        <v>#REF!</v>
      </c>
      <c r="N47" s="185" t="e">
        <f>'Dados - Composição PCFP'!#REF!</f>
        <v>#REF!</v>
      </c>
    </row>
    <row r="48" spans="1:234" ht="15" customHeight="1">
      <c r="A48" s="210" t="s">
        <v>175</v>
      </c>
      <c r="B48" s="253"/>
      <c r="C48" s="253"/>
      <c r="D48" s="178"/>
      <c r="E48" s="178"/>
      <c r="F48" s="178"/>
      <c r="G48" s="178"/>
      <c r="H48" s="178"/>
      <c r="I48" s="196"/>
      <c r="J48" s="209"/>
      <c r="K48" s="258" t="e">
        <f>SUM(K41:K47)</f>
        <v>#REF!</v>
      </c>
      <c r="L48" s="180" t="e">
        <f>SUM(L41:L47)</f>
        <v>#REF!</v>
      </c>
      <c r="M48" s="270" t="e">
        <f>SUM(M41:M47)</f>
        <v>#REF!</v>
      </c>
      <c r="N48" s="184" t="e">
        <f>SUM(N41:N47)</f>
        <v>#REF!</v>
      </c>
      <c r="O48" s="150"/>
      <c r="P48" s="150"/>
      <c r="Q48" s="150"/>
      <c r="R48" s="150"/>
      <c r="S48" s="150"/>
      <c r="T48" s="150"/>
      <c r="U48" s="150"/>
      <c r="V48" s="150"/>
      <c r="W48" s="150"/>
      <c r="X48" s="150"/>
      <c r="Y48" s="150"/>
      <c r="Z48" s="150"/>
      <c r="AA48" s="150"/>
      <c r="AB48" s="150"/>
      <c r="AC48" s="150"/>
      <c r="AD48" s="150"/>
      <c r="AE48" s="150"/>
      <c r="AF48" s="150"/>
      <c r="AG48" s="150"/>
      <c r="AH48" s="150"/>
      <c r="AI48" s="150"/>
      <c r="AJ48" s="150"/>
      <c r="AK48" s="150"/>
      <c r="AL48" s="150"/>
      <c r="AM48" s="150"/>
      <c r="AN48" s="150"/>
      <c r="AO48" s="150"/>
      <c r="AP48" s="150"/>
      <c r="AQ48" s="150"/>
      <c r="AR48" s="150"/>
      <c r="AS48" s="150"/>
      <c r="AT48" s="150"/>
      <c r="AU48" s="150"/>
      <c r="AV48" s="150"/>
      <c r="AW48" s="150"/>
      <c r="AX48" s="150"/>
      <c r="AY48" s="150"/>
      <c r="AZ48" s="150"/>
      <c r="BA48" s="150"/>
      <c r="BB48" s="150"/>
      <c r="BC48" s="150"/>
      <c r="BD48" s="150"/>
      <c r="BE48" s="150"/>
      <c r="BF48" s="150"/>
      <c r="BG48" s="150"/>
      <c r="BH48" s="150"/>
      <c r="BI48" s="150"/>
      <c r="BJ48" s="150"/>
      <c r="BK48" s="150"/>
      <c r="BL48" s="150"/>
      <c r="BM48" s="150"/>
      <c r="BN48" s="150"/>
      <c r="BO48" s="150"/>
      <c r="BP48" s="150"/>
      <c r="BQ48" s="150"/>
      <c r="BR48" s="150"/>
      <c r="BS48" s="150"/>
      <c r="BT48" s="150"/>
      <c r="BU48" s="150"/>
      <c r="BV48" s="150"/>
      <c r="BW48" s="150"/>
      <c r="BX48" s="150"/>
      <c r="BY48" s="150"/>
      <c r="BZ48" s="150"/>
      <c r="CA48" s="150"/>
      <c r="CB48" s="150"/>
      <c r="CC48" s="150"/>
      <c r="CD48" s="150"/>
      <c r="CE48" s="150"/>
      <c r="CF48" s="150"/>
      <c r="CG48" s="151"/>
      <c r="CH48" s="151"/>
      <c r="CI48" s="151"/>
      <c r="CJ48" s="151"/>
      <c r="CK48" s="151"/>
      <c r="CL48" s="151"/>
      <c r="CM48" s="151"/>
      <c r="CN48" s="151"/>
      <c r="CO48" s="151"/>
      <c r="CP48" s="151"/>
      <c r="CQ48" s="151"/>
      <c r="CR48" s="151"/>
      <c r="CS48" s="151"/>
      <c r="CT48" s="151"/>
      <c r="CU48" s="151"/>
      <c r="CV48" s="151"/>
      <c r="CW48" s="151"/>
      <c r="CX48" s="151"/>
      <c r="CY48" s="151"/>
      <c r="CZ48" s="151"/>
      <c r="DA48" s="151"/>
      <c r="DB48" s="151"/>
      <c r="DC48" s="151"/>
      <c r="DD48" s="151"/>
      <c r="DE48" s="151"/>
      <c r="DF48" s="151"/>
      <c r="DG48" s="151"/>
      <c r="DH48" s="151"/>
      <c r="DI48" s="151"/>
      <c r="DJ48" s="151"/>
      <c r="DK48" s="151"/>
      <c r="DL48" s="151"/>
      <c r="DM48" s="151"/>
      <c r="DN48" s="151"/>
      <c r="DO48" s="151"/>
      <c r="DP48" s="151"/>
      <c r="DQ48" s="151"/>
      <c r="DR48" s="151"/>
      <c r="DS48" s="151"/>
      <c r="DT48" s="151"/>
      <c r="DU48" s="151"/>
      <c r="DV48" s="151"/>
      <c r="DW48" s="151"/>
      <c r="DX48" s="151"/>
      <c r="DY48" s="151"/>
      <c r="DZ48" s="151"/>
      <c r="EA48" s="151"/>
      <c r="EB48" s="151"/>
      <c r="EC48" s="151"/>
      <c r="ED48" s="151"/>
      <c r="EE48" s="151"/>
      <c r="EF48" s="151"/>
      <c r="EG48" s="151"/>
      <c r="EH48" s="151"/>
      <c r="EI48" s="151"/>
      <c r="EJ48" s="151"/>
      <c r="EK48" s="151"/>
      <c r="EL48" s="151"/>
      <c r="EM48" s="151"/>
      <c r="EN48" s="151"/>
      <c r="EO48" s="151"/>
      <c r="EP48" s="151"/>
      <c r="EQ48" s="151"/>
      <c r="ER48" s="151"/>
      <c r="ES48" s="151"/>
      <c r="ET48" s="151"/>
      <c r="EU48" s="151"/>
      <c r="EV48" s="151"/>
      <c r="EW48" s="151"/>
      <c r="EX48" s="151"/>
      <c r="EY48" s="151"/>
      <c r="EZ48" s="151"/>
      <c r="FA48" s="151"/>
      <c r="FB48" s="151"/>
      <c r="FC48" s="151"/>
      <c r="FD48" s="151"/>
      <c r="FE48" s="151"/>
      <c r="FF48" s="151"/>
      <c r="FG48" s="151"/>
      <c r="FH48" s="151"/>
      <c r="FI48" s="151"/>
      <c r="FJ48" s="151"/>
      <c r="FK48" s="151"/>
      <c r="FL48" s="151"/>
      <c r="FM48" s="151"/>
      <c r="FN48" s="151"/>
      <c r="FO48" s="151"/>
      <c r="FP48" s="151"/>
      <c r="FQ48" s="151"/>
      <c r="FR48" s="151"/>
      <c r="FS48" s="151"/>
      <c r="FT48" s="151"/>
      <c r="FU48" s="151"/>
      <c r="FV48" s="151"/>
      <c r="FW48" s="151"/>
      <c r="FX48" s="151"/>
      <c r="FY48" s="151"/>
      <c r="FZ48" s="151"/>
      <c r="GA48" s="151"/>
      <c r="GB48" s="151"/>
      <c r="GC48" s="151"/>
      <c r="GD48" s="151"/>
      <c r="GE48" s="151"/>
      <c r="GF48" s="151"/>
      <c r="GG48" s="151"/>
      <c r="GH48" s="151"/>
      <c r="GI48" s="151"/>
      <c r="GJ48" s="151"/>
      <c r="GK48" s="151"/>
      <c r="GL48" s="151"/>
      <c r="GM48" s="151"/>
      <c r="GN48" s="151"/>
      <c r="GO48" s="151"/>
      <c r="GP48" s="151"/>
      <c r="GQ48" s="151"/>
      <c r="GR48" s="151"/>
      <c r="GS48" s="151"/>
      <c r="GT48" s="151"/>
      <c r="GU48" s="151"/>
      <c r="GV48" s="151"/>
      <c r="GW48" s="151"/>
      <c r="GX48" s="151"/>
      <c r="GY48" s="151"/>
      <c r="GZ48" s="151"/>
      <c r="HA48" s="151"/>
      <c r="HB48" s="151"/>
      <c r="HC48" s="151"/>
      <c r="HD48" s="151"/>
      <c r="HE48" s="151"/>
      <c r="HF48" s="151"/>
      <c r="HG48" s="151"/>
      <c r="HH48" s="151"/>
      <c r="HI48" s="151"/>
      <c r="HJ48" s="151"/>
      <c r="HK48" s="151"/>
      <c r="HL48" s="151"/>
      <c r="HM48" s="151"/>
      <c r="HN48" s="151"/>
      <c r="HO48" s="151"/>
      <c r="HP48" s="151"/>
      <c r="HQ48" s="151"/>
      <c r="HR48" s="151"/>
      <c r="HS48" s="151"/>
      <c r="HT48" s="151"/>
      <c r="HU48" s="151"/>
      <c r="HV48" s="151"/>
      <c r="HW48" s="151"/>
      <c r="HX48" s="151"/>
      <c r="HY48" s="151"/>
      <c r="HZ48" s="151"/>
    </row>
    <row r="49" spans="1:234">
      <c r="A49" s="246" t="s">
        <v>847</v>
      </c>
      <c r="B49" s="144"/>
      <c r="C49" s="144"/>
      <c r="D49" s="144"/>
      <c r="E49" s="144"/>
      <c r="F49" s="144"/>
      <c r="G49" s="145"/>
      <c r="H49" s="145"/>
      <c r="I49" s="145"/>
      <c r="J49" s="146"/>
      <c r="K49" s="140" t="s">
        <v>830</v>
      </c>
      <c r="L49" s="140" t="s">
        <v>830</v>
      </c>
      <c r="M49" s="140" t="s">
        <v>830</v>
      </c>
      <c r="N49" s="272" t="s">
        <v>830</v>
      </c>
    </row>
    <row r="50" spans="1:234">
      <c r="A50" s="215" t="s">
        <v>848</v>
      </c>
      <c r="B50" s="153"/>
      <c r="C50" s="153"/>
      <c r="D50" s="128"/>
      <c r="E50" s="128"/>
      <c r="G50" s="135"/>
      <c r="H50" s="135"/>
      <c r="I50" s="143"/>
      <c r="J50" s="135"/>
      <c r="K50" s="143"/>
      <c r="L50" s="143"/>
      <c r="M50" s="143"/>
      <c r="N50" s="143"/>
    </row>
    <row r="51" spans="1:234" ht="15" customHeight="1">
      <c r="A51" s="216" t="s">
        <v>849</v>
      </c>
      <c r="B51" s="128"/>
      <c r="C51" s="128"/>
      <c r="D51" s="128"/>
      <c r="E51" s="128"/>
      <c r="F51" s="128"/>
      <c r="G51" s="128"/>
      <c r="H51" s="128"/>
      <c r="I51" s="128"/>
      <c r="J51" s="128"/>
      <c r="K51" s="183" t="e">
        <f>K23</f>
        <v>#REF!</v>
      </c>
      <c r="L51" s="183" t="e">
        <f>L23</f>
        <v>#REF!</v>
      </c>
      <c r="M51" s="183" t="e">
        <f>M23</f>
        <v>#REF!</v>
      </c>
      <c r="N51" s="183" t="e">
        <f>N23</f>
        <v>#REF!</v>
      </c>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50"/>
      <c r="AN51" s="150"/>
      <c r="AO51" s="150"/>
      <c r="AP51" s="150"/>
      <c r="AQ51" s="150"/>
      <c r="AR51" s="150"/>
      <c r="AS51" s="150"/>
      <c r="AT51" s="150"/>
      <c r="AU51" s="150"/>
      <c r="AV51" s="150"/>
      <c r="AW51" s="150"/>
      <c r="AX51" s="150"/>
      <c r="AY51" s="150"/>
      <c r="AZ51" s="150"/>
      <c r="BA51" s="150"/>
      <c r="BB51" s="150"/>
      <c r="BC51" s="150"/>
      <c r="BD51" s="150"/>
      <c r="BE51" s="150"/>
      <c r="BF51" s="150"/>
      <c r="BG51" s="150"/>
      <c r="BH51" s="150"/>
      <c r="BI51" s="150"/>
      <c r="BJ51" s="150"/>
      <c r="BK51" s="150"/>
      <c r="BL51" s="150"/>
      <c r="BM51" s="150"/>
      <c r="BN51" s="150"/>
      <c r="BO51" s="150"/>
      <c r="BP51" s="150"/>
      <c r="BQ51" s="150"/>
      <c r="BR51" s="150"/>
      <c r="BS51" s="150"/>
      <c r="BT51" s="150"/>
      <c r="BU51" s="150"/>
      <c r="BV51" s="150"/>
      <c r="BW51" s="150"/>
      <c r="BX51" s="150"/>
      <c r="BY51" s="150"/>
      <c r="BZ51" s="150"/>
      <c r="CA51" s="150"/>
      <c r="CB51" s="150"/>
      <c r="CC51" s="150"/>
      <c r="CD51" s="150"/>
      <c r="CE51" s="150"/>
      <c r="CF51" s="150"/>
      <c r="CG51" s="151"/>
      <c r="CH51" s="151"/>
      <c r="CI51" s="151"/>
      <c r="CJ51" s="151"/>
      <c r="CK51" s="151"/>
      <c r="CL51" s="151"/>
      <c r="CM51" s="151"/>
      <c r="CN51" s="151"/>
      <c r="CO51" s="151"/>
      <c r="CP51" s="151"/>
      <c r="CQ51" s="151"/>
      <c r="CR51" s="151"/>
      <c r="CS51" s="151"/>
      <c r="CT51" s="151"/>
      <c r="CU51" s="151"/>
      <c r="CV51" s="151"/>
      <c r="CW51" s="151"/>
      <c r="CX51" s="151"/>
      <c r="CY51" s="151"/>
      <c r="CZ51" s="151"/>
      <c r="DA51" s="151"/>
      <c r="DB51" s="151"/>
      <c r="DC51" s="151"/>
      <c r="DD51" s="151"/>
      <c r="DE51" s="151"/>
      <c r="DF51" s="151"/>
      <c r="DG51" s="151"/>
      <c r="DH51" s="151"/>
      <c r="DI51" s="151"/>
      <c r="DJ51" s="151"/>
      <c r="DK51" s="151"/>
      <c r="DL51" s="151"/>
      <c r="DM51" s="151"/>
      <c r="DN51" s="151"/>
      <c r="DO51" s="151"/>
      <c r="DP51" s="151"/>
      <c r="DQ51" s="151"/>
      <c r="DR51" s="151"/>
      <c r="DS51" s="151"/>
      <c r="DT51" s="151"/>
      <c r="DU51" s="151"/>
      <c r="DV51" s="151"/>
      <c r="DW51" s="151"/>
      <c r="DX51" s="151"/>
      <c r="DY51" s="151"/>
      <c r="DZ51" s="151"/>
      <c r="EA51" s="151"/>
      <c r="EB51" s="151"/>
      <c r="EC51" s="151"/>
      <c r="ED51" s="151"/>
      <c r="EE51" s="151"/>
      <c r="EF51" s="151"/>
      <c r="EG51" s="151"/>
      <c r="EH51" s="151"/>
      <c r="EI51" s="151"/>
      <c r="EJ51" s="151"/>
      <c r="EK51" s="151"/>
      <c r="EL51" s="151"/>
      <c r="EM51" s="151"/>
      <c r="EN51" s="151"/>
      <c r="EO51" s="151"/>
      <c r="EP51" s="151"/>
      <c r="EQ51" s="151"/>
      <c r="ER51" s="151"/>
      <c r="ES51" s="151"/>
      <c r="ET51" s="151"/>
      <c r="EU51" s="151"/>
      <c r="EV51" s="151"/>
      <c r="EW51" s="151"/>
      <c r="EX51" s="151"/>
      <c r="EY51" s="151"/>
      <c r="EZ51" s="151"/>
      <c r="FA51" s="151"/>
      <c r="FB51" s="151"/>
      <c r="FC51" s="151"/>
      <c r="FD51" s="151"/>
      <c r="FE51" s="151"/>
      <c r="FF51" s="151"/>
      <c r="FG51" s="151"/>
      <c r="FH51" s="151"/>
      <c r="FI51" s="151"/>
      <c r="FJ51" s="151"/>
      <c r="FK51" s="151"/>
      <c r="FL51" s="151"/>
      <c r="FM51" s="151"/>
      <c r="FN51" s="151"/>
      <c r="FO51" s="151"/>
      <c r="FP51" s="151"/>
      <c r="FQ51" s="151"/>
      <c r="FR51" s="151"/>
      <c r="FS51" s="151"/>
      <c r="FT51" s="151"/>
      <c r="FU51" s="151"/>
      <c r="FV51" s="151"/>
      <c r="FW51" s="151"/>
      <c r="FX51" s="151"/>
      <c r="FY51" s="151"/>
      <c r="FZ51" s="151"/>
      <c r="GA51" s="151"/>
      <c r="GB51" s="151"/>
      <c r="GC51" s="151"/>
      <c r="GD51" s="151"/>
      <c r="GE51" s="151"/>
      <c r="GF51" s="151"/>
      <c r="GG51" s="151"/>
      <c r="GH51" s="151"/>
      <c r="GI51" s="151"/>
      <c r="GJ51" s="151"/>
      <c r="GK51" s="151"/>
      <c r="GL51" s="151"/>
      <c r="GM51" s="151"/>
      <c r="GN51" s="151"/>
      <c r="GO51" s="151"/>
      <c r="GP51" s="151"/>
      <c r="GQ51" s="151"/>
      <c r="GR51" s="151"/>
      <c r="GS51" s="151"/>
      <c r="GT51" s="151"/>
      <c r="GU51" s="151"/>
      <c r="GV51" s="151"/>
      <c r="GW51" s="151"/>
      <c r="GX51" s="151"/>
      <c r="GY51" s="151"/>
      <c r="GZ51" s="151"/>
      <c r="HA51" s="151"/>
      <c r="HB51" s="151"/>
      <c r="HC51" s="151"/>
      <c r="HD51" s="151"/>
      <c r="HE51" s="151"/>
      <c r="HF51" s="151"/>
      <c r="HG51" s="151"/>
      <c r="HH51" s="151"/>
      <c r="HI51" s="151"/>
      <c r="HJ51" s="151"/>
      <c r="HK51" s="151"/>
      <c r="HL51" s="151"/>
      <c r="HM51" s="151"/>
      <c r="HN51" s="151"/>
      <c r="HO51" s="151"/>
      <c r="HP51" s="151"/>
      <c r="HQ51" s="151"/>
      <c r="HR51" s="151"/>
      <c r="HS51" s="151"/>
      <c r="HT51" s="151"/>
      <c r="HU51" s="151"/>
      <c r="HV51" s="151"/>
      <c r="HW51" s="151"/>
      <c r="HX51" s="151"/>
      <c r="HY51" s="151"/>
      <c r="HZ51" s="151"/>
    </row>
    <row r="52" spans="1:234" ht="15" customHeight="1">
      <c r="A52" s="235" t="s">
        <v>155</v>
      </c>
      <c r="B52" s="129"/>
      <c r="C52" s="129"/>
      <c r="D52" s="129"/>
      <c r="E52" s="129"/>
      <c r="F52" s="129"/>
      <c r="G52" s="129"/>
      <c r="H52" s="129"/>
      <c r="I52" s="142"/>
      <c r="J52" s="155"/>
      <c r="K52" s="183" t="e">
        <f>K38</f>
        <v>#REF!</v>
      </c>
      <c r="L52" s="183" t="e">
        <f>L38</f>
        <v>#REF!</v>
      </c>
      <c r="M52" s="183" t="e">
        <f>M38</f>
        <v>#REF!</v>
      </c>
      <c r="N52" s="183" t="e">
        <f>N38</f>
        <v>#REF!</v>
      </c>
      <c r="O52" s="150"/>
      <c r="P52" s="150"/>
      <c r="Q52" s="150"/>
      <c r="R52" s="150"/>
      <c r="S52" s="150"/>
      <c r="T52" s="150"/>
      <c r="U52" s="150"/>
      <c r="V52" s="150"/>
      <c r="W52" s="150"/>
      <c r="X52" s="150"/>
      <c r="Y52" s="150"/>
      <c r="Z52" s="150"/>
      <c r="AA52" s="150"/>
      <c r="AB52" s="150"/>
      <c r="AC52" s="150"/>
      <c r="AD52" s="150"/>
      <c r="AE52" s="150"/>
      <c r="AF52" s="150"/>
      <c r="AG52" s="150"/>
      <c r="AH52" s="150"/>
      <c r="AI52" s="150"/>
      <c r="AJ52" s="150"/>
      <c r="AK52" s="150"/>
      <c r="AL52" s="150"/>
      <c r="AM52" s="150"/>
      <c r="AN52" s="150"/>
      <c r="AO52" s="150"/>
      <c r="AP52" s="150"/>
      <c r="AQ52" s="150"/>
      <c r="AR52" s="150"/>
      <c r="AS52" s="150"/>
      <c r="AT52" s="150"/>
      <c r="AU52" s="150"/>
      <c r="AV52" s="150"/>
      <c r="AW52" s="150"/>
      <c r="AX52" s="150"/>
      <c r="AY52" s="150"/>
      <c r="AZ52" s="150"/>
      <c r="BA52" s="150"/>
      <c r="BB52" s="150"/>
      <c r="BC52" s="150"/>
      <c r="BD52" s="150"/>
      <c r="BE52" s="150"/>
      <c r="BF52" s="150"/>
      <c r="BG52" s="150"/>
      <c r="BH52" s="150"/>
      <c r="BI52" s="150"/>
      <c r="BJ52" s="150"/>
      <c r="BK52" s="150"/>
      <c r="BL52" s="150"/>
      <c r="BM52" s="150"/>
      <c r="BN52" s="150"/>
      <c r="BO52" s="150"/>
      <c r="BP52" s="150"/>
      <c r="BQ52" s="150"/>
      <c r="BR52" s="150"/>
      <c r="BS52" s="150"/>
      <c r="BT52" s="150"/>
      <c r="BU52" s="150"/>
      <c r="BV52" s="150"/>
      <c r="BW52" s="150"/>
      <c r="BX52" s="150"/>
      <c r="BY52" s="150"/>
      <c r="BZ52" s="150"/>
      <c r="CA52" s="150"/>
      <c r="CB52" s="150"/>
      <c r="CC52" s="150"/>
      <c r="CD52" s="150"/>
      <c r="CE52" s="150"/>
      <c r="CF52" s="150"/>
      <c r="CG52" s="151"/>
      <c r="CH52" s="151"/>
      <c r="CI52" s="151"/>
      <c r="CJ52" s="151"/>
      <c r="CK52" s="151"/>
      <c r="CL52" s="151"/>
      <c r="CM52" s="151"/>
      <c r="CN52" s="151"/>
      <c r="CO52" s="151"/>
      <c r="CP52" s="151"/>
      <c r="CQ52" s="151"/>
      <c r="CR52" s="151"/>
      <c r="CS52" s="151"/>
      <c r="CT52" s="151"/>
      <c r="CU52" s="151"/>
      <c r="CV52" s="151"/>
      <c r="CW52" s="151"/>
      <c r="CX52" s="151"/>
      <c r="CY52" s="151"/>
      <c r="CZ52" s="151"/>
      <c r="DA52" s="151"/>
      <c r="DB52" s="151"/>
      <c r="DC52" s="151"/>
      <c r="DD52" s="151"/>
      <c r="DE52" s="151"/>
      <c r="DF52" s="151"/>
      <c r="DG52" s="151"/>
      <c r="DH52" s="151"/>
      <c r="DI52" s="151"/>
      <c r="DJ52" s="151"/>
      <c r="DK52" s="151"/>
      <c r="DL52" s="151"/>
      <c r="DM52" s="151"/>
      <c r="DN52" s="151"/>
      <c r="DO52" s="151"/>
      <c r="DP52" s="151"/>
      <c r="DQ52" s="151"/>
      <c r="DR52" s="151"/>
      <c r="DS52" s="151"/>
      <c r="DT52" s="151"/>
      <c r="DU52" s="151"/>
      <c r="DV52" s="151"/>
      <c r="DW52" s="151"/>
      <c r="DX52" s="151"/>
      <c r="DY52" s="151"/>
      <c r="DZ52" s="151"/>
      <c r="EA52" s="151"/>
      <c r="EB52" s="151"/>
      <c r="EC52" s="151"/>
      <c r="ED52" s="151"/>
      <c r="EE52" s="151"/>
      <c r="EF52" s="151"/>
      <c r="EG52" s="151"/>
      <c r="EH52" s="151"/>
      <c r="EI52" s="151"/>
      <c r="EJ52" s="151"/>
      <c r="EK52" s="151"/>
      <c r="EL52" s="151"/>
      <c r="EM52" s="151"/>
      <c r="EN52" s="151"/>
      <c r="EO52" s="151"/>
      <c r="EP52" s="151"/>
      <c r="EQ52" s="151"/>
      <c r="ER52" s="151"/>
      <c r="ES52" s="151"/>
      <c r="ET52" s="151"/>
      <c r="EU52" s="151"/>
      <c r="EV52" s="151"/>
      <c r="EW52" s="151"/>
      <c r="EX52" s="151"/>
      <c r="EY52" s="151"/>
      <c r="EZ52" s="151"/>
      <c r="FA52" s="151"/>
      <c r="FB52" s="151"/>
      <c r="FC52" s="151"/>
      <c r="FD52" s="151"/>
      <c r="FE52" s="151"/>
      <c r="FF52" s="151"/>
      <c r="FG52" s="151"/>
      <c r="FH52" s="151"/>
      <c r="FI52" s="151"/>
      <c r="FJ52" s="151"/>
      <c r="FK52" s="151"/>
      <c r="FL52" s="151"/>
      <c r="FM52" s="151"/>
      <c r="FN52" s="151"/>
      <c r="FO52" s="151"/>
      <c r="FP52" s="151"/>
      <c r="FQ52" s="151"/>
      <c r="FR52" s="151"/>
      <c r="FS52" s="151"/>
      <c r="FT52" s="151"/>
      <c r="FU52" s="151"/>
      <c r="FV52" s="151"/>
      <c r="FW52" s="151"/>
      <c r="FX52" s="151"/>
      <c r="FY52" s="151"/>
      <c r="FZ52" s="151"/>
      <c r="GA52" s="151"/>
      <c r="GB52" s="151"/>
      <c r="GC52" s="151"/>
      <c r="GD52" s="151"/>
      <c r="GE52" s="151"/>
      <c r="GF52" s="151"/>
      <c r="GG52" s="151"/>
      <c r="GH52" s="151"/>
      <c r="GI52" s="151"/>
      <c r="GJ52" s="151"/>
      <c r="GK52" s="151"/>
      <c r="GL52" s="151"/>
      <c r="GM52" s="151"/>
      <c r="GN52" s="151"/>
      <c r="GO52" s="151"/>
      <c r="GP52" s="151"/>
      <c r="GQ52" s="151"/>
      <c r="GR52" s="151"/>
      <c r="GS52" s="151"/>
      <c r="GT52" s="151"/>
      <c r="GU52" s="151"/>
      <c r="GV52" s="151"/>
      <c r="GW52" s="151"/>
      <c r="GX52" s="151"/>
      <c r="GY52" s="151"/>
      <c r="GZ52" s="151"/>
      <c r="HA52" s="151"/>
      <c r="HB52" s="151"/>
      <c r="HC52" s="151"/>
      <c r="HD52" s="151"/>
      <c r="HE52" s="151"/>
      <c r="HF52" s="151"/>
      <c r="HG52" s="151"/>
      <c r="HH52" s="151"/>
      <c r="HI52" s="151"/>
      <c r="HJ52" s="151"/>
      <c r="HK52" s="151"/>
      <c r="HL52" s="151"/>
      <c r="HM52" s="151"/>
      <c r="HN52" s="151"/>
      <c r="HO52" s="151"/>
      <c r="HP52" s="151"/>
      <c r="HQ52" s="151"/>
      <c r="HR52" s="151"/>
      <c r="HS52" s="151"/>
      <c r="HT52" s="151"/>
      <c r="HU52" s="151"/>
      <c r="HV52" s="151"/>
      <c r="HW52" s="151"/>
      <c r="HX52" s="151"/>
      <c r="HY52" s="151"/>
      <c r="HZ52" s="151"/>
    </row>
    <row r="53" spans="1:234" ht="15" customHeight="1">
      <c r="A53" s="216" t="s">
        <v>176</v>
      </c>
      <c r="B53" s="153"/>
      <c r="C53" s="153"/>
      <c r="D53" s="128"/>
      <c r="E53" s="128"/>
      <c r="F53" s="128"/>
      <c r="G53" s="128"/>
      <c r="H53" s="128"/>
      <c r="I53" s="128"/>
      <c r="J53" s="155"/>
      <c r="K53" s="183" t="e">
        <f>K48</f>
        <v>#REF!</v>
      </c>
      <c r="L53" s="183" t="e">
        <f>L48</f>
        <v>#REF!</v>
      </c>
      <c r="M53" s="183" t="e">
        <f>M48</f>
        <v>#REF!</v>
      </c>
      <c r="N53" s="183" t="e">
        <f>N48</f>
        <v>#REF!</v>
      </c>
      <c r="O53" s="150"/>
      <c r="P53" s="150"/>
      <c r="Q53" s="150"/>
      <c r="R53" s="150"/>
      <c r="S53" s="150"/>
      <c r="T53" s="150"/>
      <c r="U53" s="150"/>
      <c r="V53" s="150"/>
      <c r="W53" s="150"/>
      <c r="X53" s="150"/>
      <c r="Y53" s="150"/>
      <c r="Z53" s="150"/>
      <c r="AA53" s="150"/>
      <c r="AB53" s="150"/>
      <c r="AC53" s="150"/>
      <c r="AD53" s="150"/>
      <c r="AE53" s="150"/>
      <c r="AF53" s="150"/>
      <c r="AG53" s="150"/>
      <c r="AH53" s="150"/>
      <c r="AI53" s="150"/>
      <c r="AJ53" s="150"/>
      <c r="AK53" s="150"/>
      <c r="AL53" s="150"/>
      <c r="AM53" s="150"/>
      <c r="AN53" s="150"/>
      <c r="AO53" s="150"/>
      <c r="AP53" s="150"/>
      <c r="AQ53" s="150"/>
      <c r="AR53" s="150"/>
      <c r="AS53" s="150"/>
      <c r="AT53" s="150"/>
      <c r="AU53" s="150"/>
      <c r="AV53" s="150"/>
      <c r="AW53" s="150"/>
      <c r="AX53" s="150"/>
      <c r="AY53" s="150"/>
      <c r="AZ53" s="150"/>
      <c r="BA53" s="150"/>
      <c r="BB53" s="150"/>
      <c r="BC53" s="150"/>
      <c r="BD53" s="150"/>
      <c r="BE53" s="150"/>
      <c r="BF53" s="150"/>
      <c r="BG53" s="150"/>
      <c r="BH53" s="150"/>
      <c r="BI53" s="150"/>
      <c r="BJ53" s="150"/>
      <c r="BK53" s="150"/>
      <c r="BL53" s="150"/>
      <c r="BM53" s="150"/>
      <c r="BN53" s="150"/>
      <c r="BO53" s="150"/>
      <c r="BP53" s="150"/>
      <c r="BQ53" s="150"/>
      <c r="BR53" s="150"/>
      <c r="BS53" s="150"/>
      <c r="BT53" s="150"/>
      <c r="BU53" s="150"/>
      <c r="BV53" s="150"/>
      <c r="BW53" s="150"/>
      <c r="BX53" s="150"/>
      <c r="BY53" s="150"/>
      <c r="BZ53" s="150"/>
      <c r="CA53" s="150"/>
      <c r="CB53" s="150"/>
      <c r="CC53" s="150"/>
      <c r="CD53" s="150"/>
      <c r="CE53" s="150"/>
      <c r="CF53" s="150"/>
      <c r="CG53" s="151"/>
      <c r="CH53" s="151"/>
      <c r="CI53" s="151"/>
      <c r="CJ53" s="151"/>
      <c r="CK53" s="151"/>
      <c r="CL53" s="151"/>
      <c r="CM53" s="151"/>
      <c r="CN53" s="151"/>
      <c r="CO53" s="151"/>
      <c r="CP53" s="151"/>
      <c r="CQ53" s="151"/>
      <c r="CR53" s="151"/>
      <c r="CS53" s="151"/>
      <c r="CT53" s="151"/>
      <c r="CU53" s="151"/>
      <c r="CV53" s="151"/>
      <c r="CW53" s="151"/>
      <c r="CX53" s="151"/>
      <c r="CY53" s="151"/>
      <c r="CZ53" s="151"/>
      <c r="DA53" s="151"/>
      <c r="DB53" s="151"/>
      <c r="DC53" s="151"/>
      <c r="DD53" s="151"/>
      <c r="DE53" s="151"/>
      <c r="DF53" s="151"/>
      <c r="DG53" s="151"/>
      <c r="DH53" s="151"/>
      <c r="DI53" s="151"/>
      <c r="DJ53" s="151"/>
      <c r="DK53" s="151"/>
      <c r="DL53" s="151"/>
      <c r="DM53" s="151"/>
      <c r="DN53" s="151"/>
      <c r="DO53" s="151"/>
      <c r="DP53" s="151"/>
      <c r="DQ53" s="151"/>
      <c r="DR53" s="151"/>
      <c r="DS53" s="151"/>
      <c r="DT53" s="151"/>
      <c r="DU53" s="151"/>
      <c r="DV53" s="151"/>
      <c r="DW53" s="151"/>
      <c r="DX53" s="151"/>
      <c r="DY53" s="151"/>
      <c r="DZ53" s="151"/>
      <c r="EA53" s="151"/>
      <c r="EB53" s="151"/>
      <c r="EC53" s="151"/>
      <c r="ED53" s="151"/>
      <c r="EE53" s="151"/>
      <c r="EF53" s="151"/>
      <c r="EG53" s="151"/>
      <c r="EH53" s="151"/>
      <c r="EI53" s="151"/>
      <c r="EJ53" s="151"/>
      <c r="EK53" s="151"/>
      <c r="EL53" s="151"/>
      <c r="EM53" s="151"/>
      <c r="EN53" s="151"/>
      <c r="EO53" s="151"/>
      <c r="EP53" s="151"/>
      <c r="EQ53" s="151"/>
      <c r="ER53" s="151"/>
      <c r="ES53" s="151"/>
      <c r="ET53" s="151"/>
      <c r="EU53" s="151"/>
      <c r="EV53" s="151"/>
      <c r="EW53" s="151"/>
      <c r="EX53" s="151"/>
      <c r="EY53" s="151"/>
      <c r="EZ53" s="151"/>
      <c r="FA53" s="151"/>
      <c r="FB53" s="151"/>
      <c r="FC53" s="151"/>
      <c r="FD53" s="151"/>
      <c r="FE53" s="151"/>
      <c r="FF53" s="151"/>
      <c r="FG53" s="151"/>
      <c r="FH53" s="151"/>
      <c r="FI53" s="151"/>
      <c r="FJ53" s="151"/>
      <c r="FK53" s="151"/>
      <c r="FL53" s="151"/>
      <c r="FM53" s="151"/>
      <c r="FN53" s="151"/>
      <c r="FO53" s="151"/>
      <c r="FP53" s="151"/>
      <c r="FQ53" s="151"/>
      <c r="FR53" s="151"/>
      <c r="FS53" s="151"/>
      <c r="FT53" s="151"/>
      <c r="FU53" s="151"/>
      <c r="FV53" s="151"/>
      <c r="FW53" s="151"/>
      <c r="FX53" s="151"/>
      <c r="FY53" s="151"/>
      <c r="FZ53" s="151"/>
      <c r="GA53" s="151"/>
      <c r="GB53" s="151"/>
      <c r="GC53" s="151"/>
      <c r="GD53" s="151"/>
      <c r="GE53" s="151"/>
      <c r="GF53" s="151"/>
      <c r="GG53" s="151"/>
      <c r="GH53" s="151"/>
      <c r="GI53" s="151"/>
      <c r="GJ53" s="151"/>
      <c r="GK53" s="151"/>
      <c r="GL53" s="151"/>
      <c r="GM53" s="151"/>
      <c r="GN53" s="151"/>
      <c r="GO53" s="151"/>
      <c r="GP53" s="151"/>
      <c r="GQ53" s="151"/>
      <c r="GR53" s="151"/>
      <c r="GS53" s="151"/>
      <c r="GT53" s="151"/>
      <c r="GU53" s="151"/>
      <c r="GV53" s="151"/>
      <c r="GW53" s="151"/>
      <c r="GX53" s="151"/>
      <c r="GY53" s="151"/>
      <c r="GZ53" s="151"/>
      <c r="HA53" s="151"/>
      <c r="HB53" s="151"/>
      <c r="HC53" s="151"/>
      <c r="HD53" s="151"/>
      <c r="HE53" s="151"/>
      <c r="HF53" s="151"/>
      <c r="HG53" s="151"/>
      <c r="HH53" s="151"/>
      <c r="HI53" s="151"/>
      <c r="HJ53" s="151"/>
      <c r="HK53" s="151"/>
      <c r="HL53" s="151"/>
      <c r="HM53" s="151"/>
      <c r="HN53" s="151"/>
      <c r="HO53" s="151"/>
      <c r="HP53" s="151"/>
      <c r="HQ53" s="151"/>
      <c r="HR53" s="151"/>
      <c r="HS53" s="151"/>
      <c r="HT53" s="151"/>
      <c r="HU53" s="151"/>
      <c r="HV53" s="151"/>
      <c r="HW53" s="151"/>
      <c r="HX53" s="151"/>
      <c r="HY53" s="151"/>
      <c r="HZ53" s="151"/>
    </row>
    <row r="54" spans="1:234" ht="15" customHeight="1">
      <c r="A54" s="242" t="s">
        <v>175</v>
      </c>
      <c r="B54" s="135"/>
      <c r="C54" s="135"/>
      <c r="D54" s="135"/>
      <c r="E54" s="135"/>
      <c r="F54" s="141"/>
      <c r="G54" s="141"/>
      <c r="H54" s="141"/>
      <c r="I54" s="141"/>
      <c r="J54" s="152"/>
      <c r="K54" s="232" t="e">
        <f>SUM(K51:K53)</f>
        <v>#REF!</v>
      </c>
      <c r="L54" s="232" t="e">
        <f>SUM(L51:L53)</f>
        <v>#REF!</v>
      </c>
      <c r="M54" s="232" t="e">
        <f>SUM(M51:M53)</f>
        <v>#REF!</v>
      </c>
      <c r="N54" s="232" t="e">
        <f>SUM(N51:N53)</f>
        <v>#REF!</v>
      </c>
      <c r="O54" s="150"/>
      <c r="P54" s="150"/>
      <c r="Q54" s="150"/>
      <c r="R54" s="150"/>
      <c r="S54" s="150"/>
      <c r="T54" s="150"/>
      <c r="U54" s="150"/>
      <c r="V54" s="150"/>
      <c r="W54" s="150"/>
      <c r="X54" s="150"/>
      <c r="Y54" s="150"/>
      <c r="Z54" s="150"/>
      <c r="AA54" s="150"/>
      <c r="AB54" s="150"/>
      <c r="AC54" s="150"/>
      <c r="AD54" s="150"/>
      <c r="AE54" s="150"/>
      <c r="AF54" s="150"/>
      <c r="AG54" s="150"/>
      <c r="AH54" s="150"/>
      <c r="AI54" s="150"/>
      <c r="AJ54" s="150"/>
      <c r="AK54" s="150"/>
      <c r="AL54" s="150"/>
      <c r="AM54" s="150"/>
      <c r="AN54" s="150"/>
      <c r="AO54" s="150"/>
      <c r="AP54" s="150"/>
      <c r="AQ54" s="150"/>
      <c r="AR54" s="150"/>
      <c r="AS54" s="150"/>
      <c r="AT54" s="150"/>
      <c r="AU54" s="150"/>
      <c r="AV54" s="150"/>
      <c r="AW54" s="150"/>
      <c r="AX54" s="150"/>
      <c r="AY54" s="150"/>
      <c r="AZ54" s="150"/>
      <c r="BA54" s="150"/>
      <c r="BB54" s="150"/>
      <c r="BC54" s="150"/>
      <c r="BD54" s="150"/>
      <c r="BE54" s="150"/>
      <c r="BF54" s="150"/>
      <c r="BG54" s="150"/>
      <c r="BH54" s="150"/>
      <c r="BI54" s="150"/>
      <c r="BJ54" s="150"/>
      <c r="BK54" s="150"/>
      <c r="BL54" s="150"/>
      <c r="BM54" s="150"/>
      <c r="BN54" s="150"/>
      <c r="BO54" s="150"/>
      <c r="BP54" s="150"/>
      <c r="BQ54" s="150"/>
      <c r="BR54" s="150"/>
      <c r="BS54" s="150"/>
      <c r="BT54" s="150"/>
      <c r="BU54" s="150"/>
      <c r="BV54" s="150"/>
      <c r="BW54" s="150"/>
      <c r="BX54" s="150"/>
      <c r="BY54" s="150"/>
      <c r="BZ54" s="150"/>
      <c r="CA54" s="150"/>
      <c r="CB54" s="150"/>
      <c r="CC54" s="150"/>
      <c r="CD54" s="150"/>
      <c r="CE54" s="150"/>
      <c r="CF54" s="150"/>
      <c r="CG54" s="151"/>
      <c r="CH54" s="151"/>
      <c r="CI54" s="151"/>
      <c r="CJ54" s="151"/>
      <c r="CK54" s="151"/>
      <c r="CL54" s="151"/>
      <c r="CM54" s="151"/>
      <c r="CN54" s="151"/>
      <c r="CO54" s="151"/>
      <c r="CP54" s="151"/>
      <c r="CQ54" s="151"/>
      <c r="CR54" s="151"/>
      <c r="CS54" s="151"/>
      <c r="CT54" s="151"/>
      <c r="CU54" s="151"/>
      <c r="CV54" s="151"/>
      <c r="CW54" s="151"/>
      <c r="CX54" s="151"/>
      <c r="CY54" s="151"/>
      <c r="CZ54" s="151"/>
      <c r="DA54" s="151"/>
      <c r="DB54" s="151"/>
      <c r="DC54" s="151"/>
      <c r="DD54" s="151"/>
      <c r="DE54" s="151"/>
      <c r="DF54" s="151"/>
      <c r="DG54" s="151"/>
      <c r="DH54" s="151"/>
      <c r="DI54" s="151"/>
      <c r="DJ54" s="151"/>
      <c r="DK54" s="151"/>
      <c r="DL54" s="151"/>
      <c r="DM54" s="151"/>
      <c r="DN54" s="151"/>
      <c r="DO54" s="151"/>
      <c r="DP54" s="151"/>
      <c r="DQ54" s="151"/>
      <c r="DR54" s="151"/>
      <c r="DS54" s="151"/>
      <c r="DT54" s="151"/>
      <c r="DU54" s="151"/>
      <c r="DV54" s="151"/>
      <c r="DW54" s="151"/>
      <c r="DX54" s="151"/>
      <c r="DY54" s="151"/>
      <c r="DZ54" s="151"/>
      <c r="EA54" s="151"/>
      <c r="EB54" s="151"/>
      <c r="EC54" s="151"/>
      <c r="ED54" s="151"/>
      <c r="EE54" s="151"/>
      <c r="EF54" s="151"/>
      <c r="EG54" s="151"/>
      <c r="EH54" s="151"/>
      <c r="EI54" s="151"/>
      <c r="EJ54" s="151"/>
      <c r="EK54" s="151"/>
      <c r="EL54" s="151"/>
      <c r="EM54" s="151"/>
      <c r="EN54" s="151"/>
      <c r="EO54" s="151"/>
      <c r="EP54" s="151"/>
      <c r="EQ54" s="151"/>
      <c r="ER54" s="151"/>
      <c r="ES54" s="151"/>
      <c r="ET54" s="151"/>
      <c r="EU54" s="151"/>
      <c r="EV54" s="151"/>
      <c r="EW54" s="151"/>
      <c r="EX54" s="151"/>
      <c r="EY54" s="151"/>
      <c r="EZ54" s="151"/>
      <c r="FA54" s="151"/>
      <c r="FB54" s="151"/>
      <c r="FC54" s="151"/>
      <c r="FD54" s="151"/>
      <c r="FE54" s="151"/>
      <c r="FF54" s="151"/>
      <c r="FG54" s="151"/>
      <c r="FH54" s="151"/>
      <c r="FI54" s="151"/>
      <c r="FJ54" s="151"/>
      <c r="FK54" s="151"/>
      <c r="FL54" s="151"/>
      <c r="FM54" s="151"/>
      <c r="FN54" s="151"/>
      <c r="FO54" s="151"/>
      <c r="FP54" s="151"/>
      <c r="FQ54" s="151"/>
      <c r="FR54" s="151"/>
      <c r="FS54" s="151"/>
      <c r="FT54" s="151"/>
      <c r="FU54" s="151"/>
      <c r="FV54" s="151"/>
      <c r="FW54" s="151"/>
      <c r="FX54" s="151"/>
      <c r="FY54" s="151"/>
      <c r="FZ54" s="151"/>
      <c r="GA54" s="151"/>
      <c r="GB54" s="151"/>
      <c r="GC54" s="151"/>
      <c r="GD54" s="151"/>
      <c r="GE54" s="151"/>
      <c r="GF54" s="151"/>
      <c r="GG54" s="151"/>
      <c r="GH54" s="151"/>
      <c r="GI54" s="151"/>
      <c r="GJ54" s="151"/>
      <c r="GK54" s="151"/>
      <c r="GL54" s="151"/>
      <c r="GM54" s="151"/>
      <c r="GN54" s="151"/>
      <c r="GO54" s="151"/>
      <c r="GP54" s="151"/>
      <c r="GQ54" s="151"/>
      <c r="GR54" s="151"/>
      <c r="GS54" s="151"/>
      <c r="GT54" s="151"/>
      <c r="GU54" s="151"/>
      <c r="GV54" s="151"/>
      <c r="GW54" s="151"/>
      <c r="GX54" s="151"/>
      <c r="GY54" s="151"/>
      <c r="GZ54" s="151"/>
      <c r="HA54" s="151"/>
      <c r="HB54" s="151"/>
      <c r="HC54" s="151"/>
      <c r="HD54" s="151"/>
      <c r="HE54" s="151"/>
      <c r="HF54" s="151"/>
      <c r="HG54" s="151"/>
      <c r="HH54" s="151"/>
      <c r="HI54" s="151"/>
      <c r="HJ54" s="151"/>
      <c r="HK54" s="151"/>
      <c r="HL54" s="151"/>
      <c r="HM54" s="151"/>
      <c r="HN54" s="151"/>
      <c r="HO54" s="151"/>
      <c r="HP54" s="151"/>
      <c r="HQ54" s="151"/>
      <c r="HR54" s="151"/>
      <c r="HS54" s="151"/>
      <c r="HT54" s="151"/>
      <c r="HU54" s="151"/>
      <c r="HV54" s="151"/>
      <c r="HW54" s="151"/>
      <c r="HX54" s="151"/>
      <c r="HY54" s="151"/>
      <c r="HZ54" s="151"/>
    </row>
    <row r="55" spans="1:234" ht="22.5" customHeight="1">
      <c r="A55" s="206" t="s">
        <v>999</v>
      </c>
      <c r="B55" s="295"/>
      <c r="C55" s="295"/>
      <c r="D55" s="295"/>
      <c r="E55" s="295"/>
      <c r="F55" s="295"/>
      <c r="G55" s="296"/>
      <c r="H55" s="296"/>
      <c r="I55" s="297"/>
      <c r="J55" s="282" t="s">
        <v>156</v>
      </c>
      <c r="K55" s="172" t="s">
        <v>830</v>
      </c>
      <c r="L55" s="172" t="s">
        <v>830</v>
      </c>
      <c r="M55" s="172" t="s">
        <v>830</v>
      </c>
      <c r="N55" s="172" t="s">
        <v>830</v>
      </c>
    </row>
    <row r="56" spans="1:234" ht="12.75" customHeight="1">
      <c r="A56" s="269" t="s">
        <v>157</v>
      </c>
      <c r="B56" s="177" t="s">
        <v>1000</v>
      </c>
      <c r="C56" s="178"/>
      <c r="D56" s="178"/>
      <c r="E56" s="178"/>
      <c r="F56" s="178"/>
      <c r="G56" s="228"/>
      <c r="H56" s="299"/>
      <c r="I56" s="300"/>
      <c r="J56" s="278" t="e">
        <f>'Dados - Composição PCFP'!#REF!</f>
        <v>#REF!</v>
      </c>
      <c r="K56" s="185" t="e">
        <f>$J56*($K$27)</f>
        <v>#REF!</v>
      </c>
      <c r="L56" s="185" t="e">
        <f>$J56*($L$27)</f>
        <v>#REF!</v>
      </c>
      <c r="M56" s="185" t="e">
        <f>$J56*($M$27)</f>
        <v>#REF!</v>
      </c>
      <c r="N56" s="185" t="e">
        <f>$J56*($N$27)</f>
        <v>#REF!</v>
      </c>
    </row>
    <row r="57" spans="1:234" ht="14.1" customHeight="1">
      <c r="A57" s="172" t="s">
        <v>159</v>
      </c>
      <c r="B57" s="157" t="s">
        <v>853</v>
      </c>
      <c r="C57" s="285"/>
      <c r="D57" s="157"/>
      <c r="E57" s="259"/>
      <c r="F57" s="259"/>
      <c r="G57" s="244"/>
      <c r="H57" s="298"/>
      <c r="I57" s="293"/>
      <c r="J57" s="351" t="e">
        <f>'Dados - Composição PCFP'!#REF!</f>
        <v>#REF!</v>
      </c>
      <c r="K57" s="185" t="e">
        <f>$J57*($K$27)</f>
        <v>#REF!</v>
      </c>
      <c r="L57" s="185" t="e">
        <f>$J57*($L$27)</f>
        <v>#REF!</v>
      </c>
      <c r="M57" s="185" t="e">
        <f>$J57*($M$27)</f>
        <v>#REF!</v>
      </c>
      <c r="N57" s="185" t="e">
        <f>$J57*($N$27)</f>
        <v>#REF!</v>
      </c>
    </row>
    <row r="58" spans="1:234" ht="14.1" customHeight="1">
      <c r="A58" s="172" t="s">
        <v>161</v>
      </c>
      <c r="B58" s="127" t="s">
        <v>1001</v>
      </c>
      <c r="C58" s="231"/>
      <c r="D58" s="231"/>
      <c r="E58" s="231"/>
      <c r="F58" s="231"/>
      <c r="G58" s="231"/>
      <c r="H58" s="231"/>
      <c r="I58" s="294"/>
      <c r="J58" s="352" t="e">
        <f>'Dados - Composição PCFP'!#REF!</f>
        <v>#REF!</v>
      </c>
      <c r="K58" s="185" t="e">
        <f>$J58*($K$27)</f>
        <v>#REF!</v>
      </c>
      <c r="L58" s="185" t="e">
        <f>$J58*($L$27)</f>
        <v>#REF!</v>
      </c>
      <c r="M58" s="185" t="e">
        <f>$J58*($M$27)</f>
        <v>#REF!</v>
      </c>
      <c r="N58" s="185" t="e">
        <f>$J58*($N$27)</f>
        <v>#REF!</v>
      </c>
    </row>
    <row r="59" spans="1:234" ht="14.1" customHeight="1">
      <c r="A59" s="269" t="s">
        <v>165</v>
      </c>
      <c r="B59" s="177" t="s">
        <v>1002</v>
      </c>
      <c r="C59" s="178"/>
      <c r="D59" s="178"/>
      <c r="E59" s="228"/>
      <c r="F59" s="228"/>
      <c r="G59" s="228"/>
      <c r="H59" s="299"/>
      <c r="I59" s="300"/>
      <c r="J59" s="352" t="e">
        <f>'Dados - Composição PCFP'!#REF!</f>
        <v>#REF!</v>
      </c>
      <c r="K59" s="185" t="e">
        <f>$J59*($K$27)</f>
        <v>#REF!</v>
      </c>
      <c r="L59" s="185" t="e">
        <f>$J59*($L$27)</f>
        <v>#REF!</v>
      </c>
      <c r="M59" s="185" t="e">
        <f>$J59*($M$27)</f>
        <v>#REF!</v>
      </c>
      <c r="N59" s="185" t="e">
        <f>$J59*($N$27)</f>
        <v>#REF!</v>
      </c>
    </row>
    <row r="60" spans="1:234" ht="14.1" customHeight="1">
      <c r="A60" s="345" t="s">
        <v>169</v>
      </c>
      <c r="B60" s="127" t="s">
        <v>1003</v>
      </c>
      <c r="C60" s="127"/>
      <c r="D60" s="127"/>
      <c r="E60" s="127"/>
      <c r="F60" s="127"/>
      <c r="G60" s="127"/>
      <c r="H60" s="127"/>
      <c r="I60" s="346"/>
      <c r="J60" s="352" t="e">
        <f>'Dados - Composição PCFP'!#REF!</f>
        <v>#REF!</v>
      </c>
      <c r="K60" s="344" t="e">
        <f>$J60*($K$27)</f>
        <v>#REF!</v>
      </c>
      <c r="L60" s="344" t="e">
        <f>$J60*($L$27)</f>
        <v>#REF!</v>
      </c>
      <c r="M60" s="344" t="e">
        <f>$J60*($M$27)</f>
        <v>#REF!</v>
      </c>
      <c r="N60" s="344" t="e">
        <f>$J60*($N$27)</f>
        <v>#REF!</v>
      </c>
    </row>
    <row r="61" spans="1:234" ht="14.1" customHeight="1">
      <c r="A61" s="210" t="s">
        <v>175</v>
      </c>
      <c r="B61" s="211"/>
      <c r="C61" s="211"/>
      <c r="D61" s="211"/>
      <c r="E61" s="211"/>
      <c r="F61" s="211"/>
      <c r="G61" s="211"/>
      <c r="H61" s="211"/>
      <c r="I61" s="347"/>
      <c r="J61" s="353" t="e">
        <f>'Dados - Composição PCFP'!#REF!</f>
        <v>#REF!</v>
      </c>
      <c r="K61" s="184" t="e">
        <f>SUM(K56:K60)</f>
        <v>#REF!</v>
      </c>
      <c r="L61" s="184" t="e">
        <f>SUM(L56:L60)</f>
        <v>#REF!</v>
      </c>
      <c r="M61" s="184" t="e">
        <f>SUM(M56:M60)</f>
        <v>#REF!</v>
      </c>
      <c r="N61" s="184" t="e">
        <f>SUM(N56:N60)</f>
        <v>#REF!</v>
      </c>
    </row>
    <row r="62" spans="1:234" ht="14.1" customHeight="1">
      <c r="A62" s="301"/>
      <c r="B62" s="292"/>
      <c r="C62" s="292"/>
      <c r="D62" s="292"/>
      <c r="E62" s="292"/>
      <c r="F62" s="292"/>
      <c r="G62" s="292"/>
      <c r="H62" s="292"/>
      <c r="I62" s="302"/>
      <c r="J62" s="152"/>
      <c r="K62" s="329"/>
      <c r="L62" s="329"/>
      <c r="M62" s="329"/>
      <c r="N62" s="329"/>
    </row>
    <row r="63" spans="1:234">
      <c r="A63" s="206" t="s">
        <v>862</v>
      </c>
      <c r="B63" s="206"/>
      <c r="C63" s="207"/>
      <c r="D63" s="207"/>
      <c r="E63" s="207"/>
      <c r="F63" s="207"/>
      <c r="G63" s="165"/>
      <c r="H63" s="165"/>
      <c r="I63" s="165"/>
      <c r="J63" s="243"/>
      <c r="K63" s="172" t="s">
        <v>830</v>
      </c>
      <c r="L63" s="172" t="s">
        <v>830</v>
      </c>
      <c r="M63" s="172" t="s">
        <v>830</v>
      </c>
      <c r="N63" s="172" t="s">
        <v>830</v>
      </c>
    </row>
    <row r="64" spans="1:234" ht="15" customHeight="1">
      <c r="A64" s="215" t="s">
        <v>863</v>
      </c>
      <c r="B64" s="128"/>
      <c r="C64" s="128"/>
      <c r="D64" s="128"/>
      <c r="E64" s="128"/>
      <c r="F64" s="128"/>
      <c r="G64" s="128"/>
      <c r="H64" s="128"/>
      <c r="I64" s="128"/>
      <c r="J64" s="159"/>
      <c r="K64" s="183" t="e">
        <f>K17</f>
        <v>#REF!</v>
      </c>
      <c r="L64" s="183" t="e">
        <f>L17</f>
        <v>#REF!</v>
      </c>
      <c r="M64" s="183" t="e">
        <f>M17</f>
        <v>#REF!</v>
      </c>
      <c r="N64" s="183" t="e">
        <f>N17</f>
        <v>#REF!</v>
      </c>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150"/>
      <c r="AL64" s="150"/>
      <c r="AM64" s="150"/>
      <c r="AN64" s="150"/>
      <c r="AO64" s="150"/>
      <c r="AP64" s="150"/>
      <c r="AQ64" s="150"/>
      <c r="AR64" s="150"/>
      <c r="AS64" s="150"/>
      <c r="AT64" s="150"/>
      <c r="AU64" s="150"/>
      <c r="AV64" s="150"/>
      <c r="AW64" s="150"/>
      <c r="AX64" s="150"/>
      <c r="AY64" s="150"/>
      <c r="AZ64" s="150"/>
      <c r="BA64" s="150"/>
      <c r="BB64" s="150"/>
      <c r="BC64" s="150"/>
      <c r="BD64" s="150"/>
      <c r="BE64" s="150"/>
      <c r="BF64" s="150"/>
      <c r="BG64" s="150"/>
      <c r="BH64" s="150"/>
      <c r="BI64" s="150"/>
      <c r="BJ64" s="150"/>
      <c r="BK64" s="150"/>
      <c r="BL64" s="150"/>
      <c r="BM64" s="150"/>
      <c r="BN64" s="150"/>
      <c r="BO64" s="150"/>
      <c r="BP64" s="150"/>
      <c r="BQ64" s="150"/>
      <c r="BR64" s="150"/>
      <c r="BS64" s="150"/>
      <c r="BT64" s="150"/>
      <c r="BU64" s="150"/>
      <c r="BV64" s="150"/>
      <c r="BW64" s="150"/>
      <c r="BX64" s="150"/>
      <c r="BY64" s="150"/>
      <c r="BZ64" s="150"/>
      <c r="CA64" s="150"/>
      <c r="CB64" s="150"/>
      <c r="CC64" s="150"/>
      <c r="CD64" s="150"/>
      <c r="CE64" s="150"/>
      <c r="CF64" s="150"/>
      <c r="CG64" s="151"/>
      <c r="CH64" s="151"/>
      <c r="CI64" s="151"/>
      <c r="CJ64" s="151"/>
      <c r="CK64" s="151"/>
      <c r="CL64" s="151"/>
      <c r="CM64" s="151"/>
      <c r="CN64" s="151"/>
      <c r="CO64" s="151"/>
      <c r="CP64" s="151"/>
      <c r="CQ64" s="151"/>
      <c r="CR64" s="151"/>
      <c r="CS64" s="151"/>
      <c r="CT64" s="151"/>
      <c r="CU64" s="151"/>
      <c r="CV64" s="151"/>
      <c r="CW64" s="151"/>
      <c r="CX64" s="151"/>
      <c r="CY64" s="151"/>
      <c r="CZ64" s="151"/>
      <c r="DA64" s="151"/>
      <c r="DB64" s="151"/>
      <c r="DC64" s="151"/>
      <c r="DD64" s="151"/>
      <c r="DE64" s="151"/>
      <c r="DF64" s="151"/>
      <c r="DG64" s="151"/>
      <c r="DH64" s="151"/>
      <c r="DI64" s="151"/>
      <c r="DJ64" s="151"/>
      <c r="DK64" s="151"/>
      <c r="DL64" s="151"/>
      <c r="DM64" s="151"/>
      <c r="DN64" s="151"/>
      <c r="DO64" s="151"/>
      <c r="DP64" s="151"/>
      <c r="DQ64" s="151"/>
      <c r="DR64" s="151"/>
      <c r="DS64" s="151"/>
      <c r="DT64" s="151"/>
      <c r="DU64" s="151"/>
      <c r="DV64" s="151"/>
      <c r="DW64" s="151"/>
      <c r="DX64" s="151"/>
      <c r="DY64" s="151"/>
      <c r="DZ64" s="151"/>
      <c r="EA64" s="151"/>
      <c r="EB64" s="151"/>
      <c r="EC64" s="151"/>
      <c r="ED64" s="151"/>
      <c r="EE64" s="151"/>
      <c r="EF64" s="151"/>
      <c r="EG64" s="151"/>
      <c r="EH64" s="151"/>
      <c r="EI64" s="151"/>
      <c r="EJ64" s="151"/>
      <c r="EK64" s="151"/>
      <c r="EL64" s="151"/>
      <c r="EM64" s="151"/>
      <c r="EN64" s="151"/>
      <c r="EO64" s="151"/>
      <c r="EP64" s="151"/>
      <c r="EQ64" s="151"/>
      <c r="ER64" s="151"/>
      <c r="ES64" s="151"/>
      <c r="ET64" s="151"/>
      <c r="EU64" s="151"/>
      <c r="EV64" s="151"/>
      <c r="EW64" s="151"/>
      <c r="EX64" s="151"/>
      <c r="EY64" s="151"/>
      <c r="EZ64" s="151"/>
      <c r="FA64" s="151"/>
      <c r="FB64" s="151"/>
      <c r="FC64" s="151"/>
      <c r="FD64" s="151"/>
      <c r="FE64" s="151"/>
      <c r="FF64" s="151"/>
      <c r="FG64" s="151"/>
      <c r="FH64" s="151"/>
      <c r="FI64" s="151"/>
      <c r="FJ64" s="151"/>
      <c r="FK64" s="151"/>
      <c r="FL64" s="151"/>
      <c r="FM64" s="151"/>
      <c r="FN64" s="151"/>
      <c r="FO64" s="151"/>
      <c r="FP64" s="151"/>
      <c r="FQ64" s="151"/>
      <c r="FR64" s="151"/>
      <c r="FS64" s="151"/>
      <c r="FT64" s="151"/>
      <c r="FU64" s="151"/>
      <c r="FV64" s="151"/>
      <c r="FW64" s="151"/>
      <c r="FX64" s="151"/>
      <c r="FY64" s="151"/>
      <c r="FZ64" s="151"/>
      <c r="GA64" s="151"/>
      <c r="GB64" s="151"/>
      <c r="GC64" s="151"/>
      <c r="GD64" s="151"/>
      <c r="GE64" s="151"/>
      <c r="GF64" s="151"/>
      <c r="GG64" s="151"/>
      <c r="GH64" s="151"/>
      <c r="GI64" s="151"/>
      <c r="GJ64" s="151"/>
      <c r="GK64" s="151"/>
      <c r="GL64" s="151"/>
      <c r="GM64" s="151"/>
      <c r="GN64" s="151"/>
      <c r="GO64" s="151"/>
      <c r="GP64" s="151"/>
      <c r="GQ64" s="151"/>
      <c r="GR64" s="151"/>
      <c r="GS64" s="151"/>
      <c r="GT64" s="151"/>
      <c r="GU64" s="151"/>
      <c r="GV64" s="151"/>
      <c r="GW64" s="151"/>
      <c r="GX64" s="151"/>
      <c r="GY64" s="151"/>
      <c r="GZ64" s="151"/>
      <c r="HA64" s="151"/>
      <c r="HB64" s="151"/>
      <c r="HC64" s="151"/>
      <c r="HD64" s="151"/>
      <c r="HE64" s="151"/>
      <c r="HF64" s="151"/>
      <c r="HG64" s="151"/>
      <c r="HH64" s="151"/>
      <c r="HI64" s="151"/>
      <c r="HJ64" s="151"/>
      <c r="HK64" s="151"/>
      <c r="HL64" s="151"/>
      <c r="HM64" s="151"/>
      <c r="HN64" s="151"/>
      <c r="HO64" s="151"/>
      <c r="HP64" s="151"/>
      <c r="HQ64" s="151"/>
      <c r="HR64" s="151"/>
      <c r="HS64" s="151"/>
      <c r="HT64" s="151"/>
      <c r="HU64" s="151"/>
      <c r="HV64" s="151"/>
      <c r="HW64" s="151"/>
      <c r="HX64" s="151"/>
      <c r="HY64" s="151"/>
      <c r="HZ64" s="151"/>
    </row>
    <row r="65" spans="1:234" ht="15" customHeight="1">
      <c r="A65" s="216" t="s">
        <v>864</v>
      </c>
      <c r="B65" s="128"/>
      <c r="C65" s="128"/>
      <c r="D65" s="128"/>
      <c r="E65" s="128"/>
      <c r="F65" s="128"/>
      <c r="G65" s="128"/>
      <c r="H65" s="128"/>
      <c r="I65" s="128"/>
      <c r="J65" s="159"/>
      <c r="K65" s="183" t="e">
        <f>K54</f>
        <v>#REF!</v>
      </c>
      <c r="L65" s="183" t="e">
        <f>L54</f>
        <v>#REF!</v>
      </c>
      <c r="M65" s="183" t="e">
        <f>M54</f>
        <v>#REF!</v>
      </c>
      <c r="N65" s="183" t="e">
        <f>N54</f>
        <v>#REF!</v>
      </c>
      <c r="O65" s="150"/>
      <c r="P65" s="150"/>
      <c r="Q65" s="150"/>
      <c r="R65" s="150"/>
      <c r="S65" s="150"/>
      <c r="T65" s="150"/>
      <c r="U65" s="150"/>
      <c r="V65" s="150"/>
      <c r="W65" s="150"/>
      <c r="X65" s="150"/>
      <c r="Y65" s="150"/>
      <c r="Z65" s="150"/>
      <c r="AA65" s="150"/>
      <c r="AB65" s="150"/>
      <c r="AC65" s="150"/>
      <c r="AD65" s="150"/>
      <c r="AE65" s="150"/>
      <c r="AF65" s="150"/>
      <c r="AG65" s="150"/>
      <c r="AH65" s="150"/>
      <c r="AI65" s="150"/>
      <c r="AJ65" s="150"/>
      <c r="AK65" s="150"/>
      <c r="AL65" s="150"/>
      <c r="AM65" s="150"/>
      <c r="AN65" s="150"/>
      <c r="AO65" s="150"/>
      <c r="AP65" s="150"/>
      <c r="AQ65" s="150"/>
      <c r="AR65" s="150"/>
      <c r="AS65" s="150"/>
      <c r="AT65" s="150"/>
      <c r="AU65" s="150"/>
      <c r="AV65" s="150"/>
      <c r="AW65" s="150"/>
      <c r="AX65" s="150"/>
      <c r="AY65" s="150"/>
      <c r="AZ65" s="150"/>
      <c r="BA65" s="150"/>
      <c r="BB65" s="150"/>
      <c r="BC65" s="150"/>
      <c r="BD65" s="150"/>
      <c r="BE65" s="150"/>
      <c r="BF65" s="150"/>
      <c r="BG65" s="150"/>
      <c r="BH65" s="150"/>
      <c r="BI65" s="150"/>
      <c r="BJ65" s="150"/>
      <c r="BK65" s="150"/>
      <c r="BL65" s="150"/>
      <c r="BM65" s="150"/>
      <c r="BN65" s="150"/>
      <c r="BO65" s="150"/>
      <c r="BP65" s="150"/>
      <c r="BQ65" s="150"/>
      <c r="BR65" s="150"/>
      <c r="BS65" s="150"/>
      <c r="BT65" s="150"/>
      <c r="BU65" s="150"/>
      <c r="BV65" s="150"/>
      <c r="BW65" s="150"/>
      <c r="BX65" s="150"/>
      <c r="BY65" s="150"/>
      <c r="BZ65" s="150"/>
      <c r="CA65" s="150"/>
      <c r="CB65" s="150"/>
      <c r="CC65" s="150"/>
      <c r="CD65" s="150"/>
      <c r="CE65" s="150"/>
      <c r="CF65" s="150"/>
      <c r="CG65" s="151"/>
      <c r="CH65" s="151"/>
      <c r="CI65" s="151"/>
      <c r="CJ65" s="151"/>
      <c r="CK65" s="151"/>
      <c r="CL65" s="151"/>
      <c r="CM65" s="151"/>
      <c r="CN65" s="151"/>
      <c r="CO65" s="151"/>
      <c r="CP65" s="151"/>
      <c r="CQ65" s="151"/>
      <c r="CR65" s="151"/>
      <c r="CS65" s="151"/>
      <c r="CT65" s="151"/>
      <c r="CU65" s="151"/>
      <c r="CV65" s="151"/>
      <c r="CW65" s="151"/>
      <c r="CX65" s="151"/>
      <c r="CY65" s="151"/>
      <c r="CZ65" s="151"/>
      <c r="DA65" s="151"/>
      <c r="DB65" s="151"/>
      <c r="DC65" s="151"/>
      <c r="DD65" s="151"/>
      <c r="DE65" s="151"/>
      <c r="DF65" s="151"/>
      <c r="DG65" s="151"/>
      <c r="DH65" s="151"/>
      <c r="DI65" s="151"/>
      <c r="DJ65" s="151"/>
      <c r="DK65" s="151"/>
      <c r="DL65" s="151"/>
      <c r="DM65" s="151"/>
      <c r="DN65" s="151"/>
      <c r="DO65" s="151"/>
      <c r="DP65" s="151"/>
      <c r="DQ65" s="151"/>
      <c r="DR65" s="151"/>
      <c r="DS65" s="151"/>
      <c r="DT65" s="151"/>
      <c r="DU65" s="151"/>
      <c r="DV65" s="151"/>
      <c r="DW65" s="151"/>
      <c r="DX65" s="151"/>
      <c r="DY65" s="151"/>
      <c r="DZ65" s="151"/>
      <c r="EA65" s="151"/>
      <c r="EB65" s="151"/>
      <c r="EC65" s="151"/>
      <c r="ED65" s="151"/>
      <c r="EE65" s="151"/>
      <c r="EF65" s="151"/>
      <c r="EG65" s="151"/>
      <c r="EH65" s="151"/>
      <c r="EI65" s="151"/>
      <c r="EJ65" s="151"/>
      <c r="EK65" s="151"/>
      <c r="EL65" s="151"/>
      <c r="EM65" s="151"/>
      <c r="EN65" s="151"/>
      <c r="EO65" s="151"/>
      <c r="EP65" s="151"/>
      <c r="EQ65" s="151"/>
      <c r="ER65" s="151"/>
      <c r="ES65" s="151"/>
      <c r="ET65" s="151"/>
      <c r="EU65" s="151"/>
      <c r="EV65" s="151"/>
      <c r="EW65" s="151"/>
      <c r="EX65" s="151"/>
      <c r="EY65" s="151"/>
      <c r="EZ65" s="151"/>
      <c r="FA65" s="151"/>
      <c r="FB65" s="151"/>
      <c r="FC65" s="151"/>
      <c r="FD65" s="151"/>
      <c r="FE65" s="151"/>
      <c r="FF65" s="151"/>
      <c r="FG65" s="151"/>
      <c r="FH65" s="151"/>
      <c r="FI65" s="151"/>
      <c r="FJ65" s="151"/>
      <c r="FK65" s="151"/>
      <c r="FL65" s="151"/>
      <c r="FM65" s="151"/>
      <c r="FN65" s="151"/>
      <c r="FO65" s="151"/>
      <c r="FP65" s="151"/>
      <c r="FQ65" s="151"/>
      <c r="FR65" s="151"/>
      <c r="FS65" s="151"/>
      <c r="FT65" s="151"/>
      <c r="FU65" s="151"/>
      <c r="FV65" s="151"/>
      <c r="FW65" s="151"/>
      <c r="FX65" s="151"/>
      <c r="FY65" s="151"/>
      <c r="FZ65" s="151"/>
      <c r="GA65" s="151"/>
      <c r="GB65" s="151"/>
      <c r="GC65" s="151"/>
      <c r="GD65" s="151"/>
      <c r="GE65" s="151"/>
      <c r="GF65" s="151"/>
      <c r="GG65" s="151"/>
      <c r="GH65" s="151"/>
      <c r="GI65" s="151"/>
      <c r="GJ65" s="151"/>
      <c r="GK65" s="151"/>
      <c r="GL65" s="151"/>
      <c r="GM65" s="151"/>
      <c r="GN65" s="151"/>
      <c r="GO65" s="151"/>
      <c r="GP65" s="151"/>
      <c r="GQ65" s="151"/>
      <c r="GR65" s="151"/>
      <c r="GS65" s="151"/>
      <c r="GT65" s="151"/>
      <c r="GU65" s="151"/>
      <c r="GV65" s="151"/>
      <c r="GW65" s="151"/>
      <c r="GX65" s="151"/>
      <c r="GY65" s="151"/>
      <c r="GZ65" s="151"/>
      <c r="HA65" s="151"/>
      <c r="HB65" s="151"/>
      <c r="HC65" s="151"/>
      <c r="HD65" s="151"/>
      <c r="HE65" s="151"/>
      <c r="HF65" s="151"/>
      <c r="HG65" s="151"/>
      <c r="HH65" s="151"/>
      <c r="HI65" s="151"/>
      <c r="HJ65" s="151"/>
      <c r="HK65" s="151"/>
      <c r="HL65" s="151"/>
      <c r="HM65" s="151"/>
      <c r="HN65" s="151"/>
      <c r="HO65" s="151"/>
      <c r="HP65" s="151"/>
      <c r="HQ65" s="151"/>
      <c r="HR65" s="151"/>
      <c r="HS65" s="151"/>
      <c r="HT65" s="151"/>
      <c r="HU65" s="151"/>
      <c r="HV65" s="151"/>
      <c r="HW65" s="151"/>
      <c r="HX65" s="151"/>
      <c r="HY65" s="151"/>
      <c r="HZ65" s="151"/>
    </row>
    <row r="66" spans="1:234" ht="15" customHeight="1">
      <c r="A66" s="216" t="s">
        <v>865</v>
      </c>
      <c r="B66" s="128"/>
      <c r="C66" s="128"/>
      <c r="D66" s="128"/>
      <c r="E66" s="128"/>
      <c r="F66" s="128"/>
      <c r="G66" s="128"/>
      <c r="H66" s="128"/>
      <c r="I66" s="128"/>
      <c r="J66" s="159"/>
      <c r="K66" s="183" t="e">
        <f>K61</f>
        <v>#REF!</v>
      </c>
      <c r="L66" s="183" t="e">
        <f>L61</f>
        <v>#REF!</v>
      </c>
      <c r="M66" s="183" t="e">
        <f>M61</f>
        <v>#REF!</v>
      </c>
      <c r="N66" s="183" t="e">
        <f>N61</f>
        <v>#REF!</v>
      </c>
      <c r="O66" s="150"/>
      <c r="P66" s="150"/>
      <c r="Q66" s="150"/>
      <c r="R66" s="150"/>
      <c r="S66" s="150"/>
      <c r="T66" s="150"/>
      <c r="U66" s="150"/>
      <c r="V66" s="150"/>
      <c r="W66" s="150"/>
      <c r="X66" s="150"/>
      <c r="Y66" s="150"/>
      <c r="Z66" s="150"/>
      <c r="AA66" s="150"/>
      <c r="AB66" s="150"/>
      <c r="AC66" s="150"/>
      <c r="AD66" s="150"/>
      <c r="AE66" s="150"/>
      <c r="AF66" s="150"/>
      <c r="AG66" s="150"/>
      <c r="AH66" s="150"/>
      <c r="AI66" s="150"/>
      <c r="AJ66" s="150"/>
      <c r="AK66" s="150"/>
      <c r="AL66" s="150"/>
      <c r="AM66" s="150"/>
      <c r="AN66" s="150"/>
      <c r="AO66" s="150"/>
      <c r="AP66" s="150"/>
      <c r="AQ66" s="150"/>
      <c r="AR66" s="150"/>
      <c r="AS66" s="150"/>
      <c r="AT66" s="150"/>
      <c r="AU66" s="150"/>
      <c r="AV66" s="150"/>
      <c r="AW66" s="150"/>
      <c r="AX66" s="150"/>
      <c r="AY66" s="150"/>
      <c r="AZ66" s="150"/>
      <c r="BA66" s="150"/>
      <c r="BB66" s="150"/>
      <c r="BC66" s="150"/>
      <c r="BD66" s="150"/>
      <c r="BE66" s="150"/>
      <c r="BF66" s="150"/>
      <c r="BG66" s="150"/>
      <c r="BH66" s="150"/>
      <c r="BI66" s="150"/>
      <c r="BJ66" s="150"/>
      <c r="BK66" s="150"/>
      <c r="BL66" s="150"/>
      <c r="BM66" s="150"/>
      <c r="BN66" s="150"/>
      <c r="BO66" s="150"/>
      <c r="BP66" s="150"/>
      <c r="BQ66" s="150"/>
      <c r="BR66" s="150"/>
      <c r="BS66" s="150"/>
      <c r="BT66" s="150"/>
      <c r="BU66" s="150"/>
      <c r="BV66" s="150"/>
      <c r="BW66" s="150"/>
      <c r="BX66" s="150"/>
      <c r="BY66" s="150"/>
      <c r="BZ66" s="150"/>
      <c r="CA66" s="150"/>
      <c r="CB66" s="150"/>
      <c r="CC66" s="150"/>
      <c r="CD66" s="150"/>
      <c r="CE66" s="150"/>
      <c r="CF66" s="150"/>
      <c r="CG66" s="151"/>
      <c r="CH66" s="151"/>
      <c r="CI66" s="151"/>
      <c r="CJ66" s="151"/>
      <c r="CK66" s="151"/>
      <c r="CL66" s="151"/>
      <c r="CM66" s="151"/>
      <c r="CN66" s="151"/>
      <c r="CO66" s="151"/>
      <c r="CP66" s="151"/>
      <c r="CQ66" s="151"/>
      <c r="CR66" s="151"/>
      <c r="CS66" s="151"/>
      <c r="CT66" s="151"/>
      <c r="CU66" s="151"/>
      <c r="CV66" s="151"/>
      <c r="CW66" s="151"/>
      <c r="CX66" s="151"/>
      <c r="CY66" s="151"/>
      <c r="CZ66" s="151"/>
      <c r="DA66" s="151"/>
      <c r="DB66" s="151"/>
      <c r="DC66" s="151"/>
      <c r="DD66" s="151"/>
      <c r="DE66" s="151"/>
      <c r="DF66" s="151"/>
      <c r="DG66" s="151"/>
      <c r="DH66" s="151"/>
      <c r="DI66" s="151"/>
      <c r="DJ66" s="151"/>
      <c r="DK66" s="151"/>
      <c r="DL66" s="151"/>
      <c r="DM66" s="151"/>
      <c r="DN66" s="151"/>
      <c r="DO66" s="151"/>
      <c r="DP66" s="151"/>
      <c r="DQ66" s="151"/>
      <c r="DR66" s="151"/>
      <c r="DS66" s="151"/>
      <c r="DT66" s="151"/>
      <c r="DU66" s="151"/>
      <c r="DV66" s="151"/>
      <c r="DW66" s="151"/>
      <c r="DX66" s="151"/>
      <c r="DY66" s="151"/>
      <c r="DZ66" s="151"/>
      <c r="EA66" s="151"/>
      <c r="EB66" s="151"/>
      <c r="EC66" s="151"/>
      <c r="ED66" s="151"/>
      <c r="EE66" s="151"/>
      <c r="EF66" s="151"/>
      <c r="EG66" s="151"/>
      <c r="EH66" s="151"/>
      <c r="EI66" s="151"/>
      <c r="EJ66" s="151"/>
      <c r="EK66" s="151"/>
      <c r="EL66" s="151"/>
      <c r="EM66" s="151"/>
      <c r="EN66" s="151"/>
      <c r="EO66" s="151"/>
      <c r="EP66" s="151"/>
      <c r="EQ66" s="151"/>
      <c r="ER66" s="151"/>
      <c r="ES66" s="151"/>
      <c r="ET66" s="151"/>
      <c r="EU66" s="151"/>
      <c r="EV66" s="151"/>
      <c r="EW66" s="151"/>
      <c r="EX66" s="151"/>
      <c r="EY66" s="151"/>
      <c r="EZ66" s="151"/>
      <c r="FA66" s="151"/>
      <c r="FB66" s="151"/>
      <c r="FC66" s="151"/>
      <c r="FD66" s="151"/>
      <c r="FE66" s="151"/>
      <c r="FF66" s="151"/>
      <c r="FG66" s="151"/>
      <c r="FH66" s="151"/>
      <c r="FI66" s="151"/>
      <c r="FJ66" s="151"/>
      <c r="FK66" s="151"/>
      <c r="FL66" s="151"/>
      <c r="FM66" s="151"/>
      <c r="FN66" s="151"/>
      <c r="FO66" s="151"/>
      <c r="FP66" s="151"/>
      <c r="FQ66" s="151"/>
      <c r="FR66" s="151"/>
      <c r="FS66" s="151"/>
      <c r="FT66" s="151"/>
      <c r="FU66" s="151"/>
      <c r="FV66" s="151"/>
      <c r="FW66" s="151"/>
      <c r="FX66" s="151"/>
      <c r="FY66" s="151"/>
      <c r="FZ66" s="151"/>
      <c r="GA66" s="151"/>
      <c r="GB66" s="151"/>
      <c r="GC66" s="151"/>
      <c r="GD66" s="151"/>
      <c r="GE66" s="151"/>
      <c r="GF66" s="151"/>
      <c r="GG66" s="151"/>
      <c r="GH66" s="151"/>
      <c r="GI66" s="151"/>
      <c r="GJ66" s="151"/>
      <c r="GK66" s="151"/>
      <c r="GL66" s="151"/>
      <c r="GM66" s="151"/>
      <c r="GN66" s="151"/>
      <c r="GO66" s="151"/>
      <c r="GP66" s="151"/>
      <c r="GQ66" s="151"/>
      <c r="GR66" s="151"/>
      <c r="GS66" s="151"/>
      <c r="GT66" s="151"/>
      <c r="GU66" s="151"/>
      <c r="GV66" s="151"/>
      <c r="GW66" s="151"/>
      <c r="GX66" s="151"/>
      <c r="GY66" s="151"/>
      <c r="GZ66" s="151"/>
      <c r="HA66" s="151"/>
      <c r="HB66" s="151"/>
      <c r="HC66" s="151"/>
      <c r="HD66" s="151"/>
      <c r="HE66" s="151"/>
      <c r="HF66" s="151"/>
      <c r="HG66" s="151"/>
      <c r="HH66" s="151"/>
      <c r="HI66" s="151"/>
      <c r="HJ66" s="151"/>
      <c r="HK66" s="151"/>
      <c r="HL66" s="151"/>
      <c r="HM66" s="151"/>
      <c r="HN66" s="151"/>
      <c r="HO66" s="151"/>
      <c r="HP66" s="151"/>
      <c r="HQ66" s="151"/>
      <c r="HR66" s="151"/>
      <c r="HS66" s="151"/>
      <c r="HT66" s="151"/>
      <c r="HU66" s="151"/>
      <c r="HV66" s="151"/>
      <c r="HW66" s="151"/>
      <c r="HX66" s="151"/>
      <c r="HY66" s="151"/>
      <c r="HZ66" s="151"/>
    </row>
    <row r="67" spans="1:234" ht="14.1" customHeight="1">
      <c r="A67" s="242" t="s">
        <v>175</v>
      </c>
      <c r="B67" s="158"/>
      <c r="C67" s="158"/>
      <c r="D67" s="158"/>
      <c r="E67" s="158"/>
      <c r="F67" s="158"/>
      <c r="G67" s="158"/>
      <c r="H67" s="158"/>
      <c r="I67" s="160"/>
      <c r="J67" s="159"/>
      <c r="K67" s="184" t="e">
        <f>SUM(K64:K66)</f>
        <v>#REF!</v>
      </c>
      <c r="L67" s="184" t="e">
        <f>SUM(L64:L66)</f>
        <v>#REF!</v>
      </c>
      <c r="M67" s="184" t="e">
        <f>SUM(M64:M66)</f>
        <v>#REF!</v>
      </c>
      <c r="N67" s="184" t="e">
        <f>SUM(N64:N66)</f>
        <v>#REF!</v>
      </c>
    </row>
    <row r="68" spans="1:234" ht="22.5" customHeight="1">
      <c r="A68" s="206" t="s">
        <v>1004</v>
      </c>
      <c r="B68" s="207"/>
      <c r="C68" s="207"/>
      <c r="D68" s="207"/>
      <c r="E68" s="207"/>
      <c r="F68" s="207"/>
      <c r="G68" s="165"/>
      <c r="H68" s="165"/>
      <c r="I68" s="165"/>
      <c r="J68" s="233"/>
      <c r="K68" s="234"/>
      <c r="L68" s="234"/>
      <c r="M68" s="234"/>
      <c r="N68" s="234"/>
    </row>
    <row r="69" spans="1:234">
      <c r="A69" s="206" t="s">
        <v>217</v>
      </c>
      <c r="B69" s="207"/>
      <c r="C69" s="207"/>
      <c r="D69" s="207"/>
      <c r="E69" s="207"/>
      <c r="F69" s="207"/>
      <c r="G69" s="165"/>
      <c r="H69" s="165"/>
      <c r="I69" s="165"/>
      <c r="J69" s="282" t="s">
        <v>156</v>
      </c>
      <c r="K69" s="172" t="s">
        <v>830</v>
      </c>
      <c r="L69" s="172" t="s">
        <v>830</v>
      </c>
      <c r="M69" s="172" t="s">
        <v>830</v>
      </c>
      <c r="N69" s="172" t="s">
        <v>830</v>
      </c>
    </row>
    <row r="70" spans="1:234">
      <c r="A70" s="225" t="s">
        <v>218</v>
      </c>
      <c r="B70" s="241"/>
      <c r="C70" s="241"/>
      <c r="D70" s="164"/>
      <c r="E70" s="164"/>
      <c r="F70" s="164"/>
      <c r="G70" s="164"/>
      <c r="H70" s="164"/>
      <c r="I70" s="343"/>
      <c r="J70" s="164"/>
      <c r="K70" s="343"/>
      <c r="L70" s="343"/>
      <c r="M70" s="343"/>
      <c r="N70" s="224"/>
    </row>
    <row r="71" spans="1:234" ht="12.75" customHeight="1">
      <c r="A71" s="263" t="s">
        <v>157</v>
      </c>
      <c r="B71" s="127" t="s">
        <v>1005</v>
      </c>
      <c r="C71" s="127"/>
      <c r="D71" s="127"/>
      <c r="E71" s="1096" t="s">
        <v>1006</v>
      </c>
      <c r="F71" s="1097"/>
      <c r="G71" s="1097"/>
      <c r="H71" s="1098"/>
      <c r="I71" s="305" t="e">
        <f>'Dados - Composição PCFP'!#REF!</f>
        <v>#REF!</v>
      </c>
      <c r="J71" s="239" t="e">
        <f>'Dados - Composição PCFP'!#REF!</f>
        <v>#REF!</v>
      </c>
      <c r="K71" s="240" t="e">
        <f t="shared" ref="K71:K80" si="4">$J71*$K$17</f>
        <v>#REF!</v>
      </c>
      <c r="L71" s="240" t="e">
        <f t="shared" ref="L71:L80" si="5">$J71*$L$17</f>
        <v>#REF!</v>
      </c>
      <c r="M71" s="240" t="e">
        <f t="shared" ref="M71:M80" si="6">$J71*$M$17</f>
        <v>#REF!</v>
      </c>
      <c r="N71" s="240" t="e">
        <f>$J71*$N$17</f>
        <v>#REF!</v>
      </c>
    </row>
    <row r="72" spans="1:234" ht="14.1" customHeight="1">
      <c r="A72" s="276" t="s">
        <v>159</v>
      </c>
      <c r="B72" s="177" t="s">
        <v>1007</v>
      </c>
      <c r="C72" s="178"/>
      <c r="D72" s="178"/>
      <c r="E72" s="1099"/>
      <c r="F72" s="1100"/>
      <c r="G72" s="1100"/>
      <c r="H72" s="1101"/>
      <c r="I72" s="306" t="e">
        <f>'Dados - Composição PCFP'!#REF!</f>
        <v>#REF!</v>
      </c>
      <c r="J72" s="166" t="e">
        <f>'Dados - Composição PCFP'!#REF!</f>
        <v>#REF!</v>
      </c>
      <c r="K72" s="183" t="e">
        <f t="shared" si="4"/>
        <v>#REF!</v>
      </c>
      <c r="L72" s="183" t="e">
        <f t="shared" si="5"/>
        <v>#REF!</v>
      </c>
      <c r="M72" s="183" t="e">
        <f t="shared" si="6"/>
        <v>#REF!</v>
      </c>
      <c r="N72" s="183" t="e">
        <f>$J72*$N$17</f>
        <v>#REF!</v>
      </c>
    </row>
    <row r="73" spans="1:234" ht="14.1" customHeight="1">
      <c r="A73" s="279" t="s">
        <v>161</v>
      </c>
      <c r="B73" s="192" t="s">
        <v>1008</v>
      </c>
      <c r="C73" s="193"/>
      <c r="D73" s="193"/>
      <c r="E73" s="1099"/>
      <c r="F73" s="1100"/>
      <c r="G73" s="1100"/>
      <c r="H73" s="1101"/>
      <c r="I73" s="305" t="e">
        <f>'Dados - Composição PCFP'!#REF!</f>
        <v>#REF!</v>
      </c>
      <c r="J73" s="278" t="e">
        <f>'Dados - Composição PCFP'!#REF!</f>
        <v>#REF!</v>
      </c>
      <c r="K73" s="303" t="e">
        <f t="shared" si="4"/>
        <v>#REF!</v>
      </c>
      <c r="L73" s="303" t="e">
        <f t="shared" si="5"/>
        <v>#REF!</v>
      </c>
      <c r="M73" s="303" t="e">
        <f t="shared" si="6"/>
        <v>#REF!</v>
      </c>
      <c r="N73" s="183" t="e">
        <f>$J73*$N$17</f>
        <v>#REF!</v>
      </c>
    </row>
    <row r="74" spans="1:234" ht="14.1" customHeight="1">
      <c r="A74" s="276" t="s">
        <v>165</v>
      </c>
      <c r="B74" s="177" t="s">
        <v>1009</v>
      </c>
      <c r="C74" s="178"/>
      <c r="D74" s="178"/>
      <c r="E74" s="1099"/>
      <c r="F74" s="1100"/>
      <c r="G74" s="1100"/>
      <c r="H74" s="1101"/>
      <c r="I74" s="307" t="e">
        <f>'Dados - Composição PCFP'!#REF!</f>
        <v>#REF!</v>
      </c>
      <c r="J74" s="166" t="e">
        <f>'Dados - Composição PCFP'!#REF!</f>
        <v>#REF!</v>
      </c>
      <c r="K74" s="183" t="e">
        <f t="shared" si="4"/>
        <v>#REF!</v>
      </c>
      <c r="L74" s="183" t="e">
        <f t="shared" si="5"/>
        <v>#REF!</v>
      </c>
      <c r="M74" s="183" t="e">
        <f t="shared" si="6"/>
        <v>#REF!</v>
      </c>
      <c r="N74" s="183" t="e">
        <f>$J74*$N$17</f>
        <v>#REF!</v>
      </c>
    </row>
    <row r="75" spans="1:234" ht="12.75" customHeight="1">
      <c r="A75" s="279" t="s">
        <v>167</v>
      </c>
      <c r="B75" s="192" t="s">
        <v>1010</v>
      </c>
      <c r="C75" s="193"/>
      <c r="D75" s="193"/>
      <c r="E75" s="1099"/>
      <c r="F75" s="1100"/>
      <c r="G75" s="1100"/>
      <c r="H75" s="1101"/>
      <c r="I75" s="305" t="e">
        <f>'Dados - Composição PCFP'!#REF!</f>
        <v>#REF!</v>
      </c>
      <c r="J75" s="280" t="e">
        <f>'Dados - Composição PCFP'!#REF!</f>
        <v>#REF!</v>
      </c>
      <c r="K75" s="304" t="e">
        <f t="shared" si="4"/>
        <v>#REF!</v>
      </c>
      <c r="L75" s="303" t="e">
        <f>J75*$L$17</f>
        <v>#REF!</v>
      </c>
      <c r="M75" s="304" t="e">
        <f t="shared" si="6"/>
        <v>#REF!</v>
      </c>
      <c r="N75" s="303" t="e">
        <f>J75*$N$17</f>
        <v>#REF!</v>
      </c>
    </row>
    <row r="76" spans="1:234" ht="14.1" customHeight="1">
      <c r="A76" s="276" t="s">
        <v>169</v>
      </c>
      <c r="B76" s="192" t="s">
        <v>879</v>
      </c>
      <c r="C76" s="193"/>
      <c r="D76" s="193" t="s">
        <v>1011</v>
      </c>
      <c r="E76" s="1102"/>
      <c r="F76" s="1103"/>
      <c r="G76" s="1103"/>
      <c r="H76" s="1104"/>
      <c r="I76" s="308" t="e">
        <f>'Dados - Composição PCFP'!#REF!</f>
        <v>#REF!</v>
      </c>
      <c r="J76" s="309" t="e">
        <f>'Dados - Composição PCFP'!#REF!</f>
        <v>#REF!</v>
      </c>
      <c r="K76" s="304" t="e">
        <f t="shared" si="4"/>
        <v>#REF!</v>
      </c>
      <c r="L76" s="183" t="e">
        <f t="shared" si="5"/>
        <v>#REF!</v>
      </c>
      <c r="M76" s="183" t="e">
        <f t="shared" si="6"/>
        <v>#REF!</v>
      </c>
      <c r="N76" s="183" t="e">
        <f>$J76*$N$17</f>
        <v>#REF!</v>
      </c>
    </row>
    <row r="77" spans="1:234" ht="13.5" customHeight="1">
      <c r="A77" s="311" t="s">
        <v>1012</v>
      </c>
      <c r="B77" s="310"/>
      <c r="C77" s="310"/>
      <c r="D77" s="310"/>
      <c r="E77" s="310"/>
      <c r="F77" s="310"/>
      <c r="G77" s="310"/>
      <c r="H77" s="310"/>
      <c r="I77" s="310"/>
      <c r="J77" s="221" t="e">
        <f>SUM(J71:J76)</f>
        <v>#REF!</v>
      </c>
      <c r="K77" s="183" t="e">
        <f t="shared" si="4"/>
        <v>#REF!</v>
      </c>
      <c r="L77" s="183" t="e">
        <f t="shared" si="5"/>
        <v>#REF!</v>
      </c>
      <c r="M77" s="183" t="e">
        <f t="shared" si="6"/>
        <v>#REF!</v>
      </c>
      <c r="N77" s="183" t="e">
        <f>$J77*$N$17</f>
        <v>#REF!</v>
      </c>
    </row>
    <row r="78" spans="1:234" ht="13.5" customHeight="1">
      <c r="A78" s="276" t="s">
        <v>171</v>
      </c>
      <c r="B78" s="161" t="s">
        <v>1013</v>
      </c>
      <c r="C78" s="162"/>
      <c r="D78" s="131"/>
      <c r="E78" s="131"/>
      <c r="F78" s="131"/>
      <c r="G78" s="131"/>
      <c r="H78" s="131"/>
      <c r="I78" s="131"/>
      <c r="J78" s="222" t="e">
        <f>(J77-J75)*(1/12+1/12+1/12/3)</f>
        <v>#REF!</v>
      </c>
      <c r="K78" s="183" t="e">
        <f t="shared" si="4"/>
        <v>#REF!</v>
      </c>
      <c r="L78" s="183" t="e">
        <f t="shared" si="5"/>
        <v>#REF!</v>
      </c>
      <c r="M78" s="183" t="e">
        <f t="shared" si="6"/>
        <v>#REF!</v>
      </c>
      <c r="N78" s="183" t="e">
        <f>$J78*$N$17</f>
        <v>#REF!</v>
      </c>
    </row>
    <row r="79" spans="1:234" ht="13.5" customHeight="1">
      <c r="A79" s="311" t="s">
        <v>1014</v>
      </c>
      <c r="B79" s="310"/>
      <c r="C79" s="310"/>
      <c r="D79" s="310"/>
      <c r="E79" s="310"/>
      <c r="F79" s="310"/>
      <c r="G79" s="310"/>
      <c r="H79" s="310"/>
      <c r="I79" s="310"/>
      <c r="J79" s="222" t="e">
        <f>SUM(J77:J78)</f>
        <v>#REF!</v>
      </c>
      <c r="K79" s="183" t="e">
        <f t="shared" si="4"/>
        <v>#REF!</v>
      </c>
      <c r="L79" s="183" t="e">
        <f t="shared" si="5"/>
        <v>#REF!</v>
      </c>
      <c r="M79" s="183" t="e">
        <f t="shared" si="6"/>
        <v>#REF!</v>
      </c>
      <c r="N79" s="183" t="e">
        <f>$J79*$N$17</f>
        <v>#REF!</v>
      </c>
    </row>
    <row r="80" spans="1:234" ht="13.5" customHeight="1">
      <c r="A80" s="276" t="s">
        <v>173</v>
      </c>
      <c r="B80" s="163" t="s">
        <v>1015</v>
      </c>
      <c r="C80" s="164"/>
      <c r="D80" s="132"/>
      <c r="E80" s="132"/>
      <c r="F80" s="132"/>
      <c r="G80" s="132"/>
      <c r="H80" s="132"/>
      <c r="I80" s="132"/>
      <c r="J80" s="222" t="e">
        <f>J79*J38</f>
        <v>#REF!</v>
      </c>
      <c r="K80" s="183" t="e">
        <f t="shared" si="4"/>
        <v>#REF!</v>
      </c>
      <c r="L80" s="183" t="e">
        <f t="shared" si="5"/>
        <v>#REF!</v>
      </c>
      <c r="M80" s="183" t="e">
        <f t="shared" si="6"/>
        <v>#REF!</v>
      </c>
      <c r="N80" s="183" t="e">
        <f>$J80*$N$17</f>
        <v>#REF!</v>
      </c>
    </row>
    <row r="81" spans="1:234" ht="14.1" customHeight="1">
      <c r="A81" s="210" t="s">
        <v>175</v>
      </c>
      <c r="B81" s="163"/>
      <c r="C81" s="164"/>
      <c r="D81" s="219"/>
      <c r="E81" s="219"/>
      <c r="F81" s="219"/>
      <c r="G81" s="219"/>
      <c r="H81" s="219"/>
      <c r="I81" s="220"/>
      <c r="J81" s="223" t="e">
        <f>SUM(J71:J76,J78,J80)</f>
        <v>#REF!</v>
      </c>
      <c r="K81" s="186" t="e">
        <f>SUM(K71:K76,K78,K80)</f>
        <v>#REF!</v>
      </c>
      <c r="L81" s="186" t="e">
        <f>SUM(L71:L76,L78,L80)</f>
        <v>#REF!</v>
      </c>
      <c r="M81" s="186" t="e">
        <f>SUM(M71:M76,M78,M80)</f>
        <v>#REF!</v>
      </c>
      <c r="N81" s="186" t="e">
        <f>SUM(N71:N76,N78,N80)</f>
        <v>#REF!</v>
      </c>
      <c r="O81" s="150"/>
      <c r="P81" s="150"/>
      <c r="Q81" s="150"/>
      <c r="R81" s="150"/>
      <c r="S81" s="150"/>
      <c r="T81" s="150"/>
      <c r="U81" s="150"/>
      <c r="V81" s="150"/>
      <c r="W81" s="150"/>
      <c r="X81" s="150"/>
      <c r="Y81" s="150"/>
      <c r="Z81" s="150"/>
      <c r="AA81" s="150"/>
      <c r="AB81" s="150"/>
      <c r="AC81" s="150"/>
      <c r="AD81" s="150"/>
      <c r="AE81" s="150"/>
      <c r="AF81" s="150"/>
      <c r="AG81" s="150"/>
      <c r="AH81" s="150"/>
      <c r="AI81" s="150"/>
      <c r="AJ81" s="150"/>
      <c r="AK81" s="150"/>
      <c r="AL81" s="150"/>
      <c r="AM81" s="150"/>
      <c r="AN81" s="150"/>
      <c r="AO81" s="150"/>
      <c r="AP81" s="150"/>
      <c r="AQ81" s="150"/>
      <c r="AR81" s="150"/>
      <c r="AS81" s="150"/>
      <c r="AT81" s="150"/>
      <c r="AU81" s="150"/>
      <c r="AV81" s="150"/>
      <c r="AW81" s="150"/>
      <c r="AX81" s="150"/>
      <c r="AY81" s="150"/>
      <c r="AZ81" s="150"/>
      <c r="BA81" s="150"/>
      <c r="BB81" s="150"/>
      <c r="BC81" s="150"/>
      <c r="BD81" s="150"/>
      <c r="BE81" s="150"/>
      <c r="BF81" s="150"/>
      <c r="BG81" s="150"/>
      <c r="BH81" s="150"/>
      <c r="BI81" s="150"/>
      <c r="BJ81" s="150"/>
      <c r="BK81" s="150"/>
      <c r="BL81" s="150"/>
      <c r="BM81" s="150"/>
      <c r="BN81" s="150"/>
      <c r="BO81" s="150"/>
      <c r="BP81" s="150"/>
      <c r="BQ81" s="150"/>
      <c r="BR81" s="150"/>
      <c r="BS81" s="150"/>
      <c r="BT81" s="150"/>
      <c r="BU81" s="150"/>
      <c r="BV81" s="150"/>
      <c r="BW81" s="150"/>
      <c r="BX81" s="150"/>
      <c r="BY81" s="150"/>
      <c r="BZ81" s="150"/>
      <c r="CA81" s="150"/>
      <c r="CB81" s="150"/>
      <c r="CC81" s="150"/>
      <c r="CD81" s="150"/>
      <c r="CE81" s="150"/>
      <c r="CF81" s="150"/>
      <c r="CG81" s="151"/>
      <c r="CH81" s="151"/>
      <c r="CI81" s="151"/>
      <c r="CJ81" s="151"/>
      <c r="CK81" s="151"/>
      <c r="CL81" s="151"/>
      <c r="CM81" s="151"/>
      <c r="CN81" s="151"/>
      <c r="CO81" s="151"/>
      <c r="CP81" s="151"/>
      <c r="CQ81" s="151"/>
      <c r="CR81" s="151"/>
      <c r="CS81" s="151"/>
      <c r="CT81" s="151"/>
      <c r="CU81" s="151"/>
      <c r="CV81" s="151"/>
      <c r="CW81" s="151"/>
      <c r="CX81" s="151"/>
      <c r="CY81" s="151"/>
      <c r="CZ81" s="151"/>
      <c r="DA81" s="151"/>
      <c r="DB81" s="151"/>
      <c r="DC81" s="151"/>
      <c r="DD81" s="151"/>
      <c r="DE81" s="151"/>
      <c r="DF81" s="151"/>
      <c r="DG81" s="151"/>
      <c r="DH81" s="151"/>
      <c r="DI81" s="151"/>
      <c r="DJ81" s="151"/>
      <c r="DK81" s="151"/>
      <c r="DL81" s="151"/>
      <c r="DM81" s="151"/>
      <c r="DN81" s="151"/>
      <c r="DO81" s="151"/>
      <c r="DP81" s="151"/>
      <c r="DQ81" s="151"/>
      <c r="DR81" s="151"/>
      <c r="DS81" s="151"/>
      <c r="DT81" s="151"/>
      <c r="DU81" s="151"/>
      <c r="DV81" s="151"/>
      <c r="DW81" s="151"/>
      <c r="DX81" s="151"/>
      <c r="DY81" s="151"/>
      <c r="DZ81" s="151"/>
      <c r="EA81" s="151"/>
      <c r="EB81" s="151"/>
      <c r="EC81" s="151"/>
      <c r="ED81" s="151"/>
      <c r="EE81" s="151"/>
      <c r="EF81" s="151"/>
      <c r="EG81" s="151"/>
      <c r="EH81" s="151"/>
      <c r="EI81" s="151"/>
      <c r="EJ81" s="151"/>
      <c r="EK81" s="151"/>
      <c r="EL81" s="151"/>
      <c r="EM81" s="151"/>
      <c r="EN81" s="151"/>
      <c r="EO81" s="151"/>
      <c r="EP81" s="151"/>
      <c r="EQ81" s="151"/>
      <c r="ER81" s="151"/>
      <c r="ES81" s="151"/>
      <c r="ET81" s="151"/>
      <c r="EU81" s="151"/>
      <c r="EV81" s="151"/>
      <c r="EW81" s="151"/>
      <c r="EX81" s="151"/>
      <c r="EY81" s="151"/>
      <c r="EZ81" s="151"/>
      <c r="FA81" s="151"/>
      <c r="FB81" s="151"/>
      <c r="FC81" s="151"/>
      <c r="FD81" s="151"/>
      <c r="FE81" s="151"/>
      <c r="FF81" s="151"/>
      <c r="FG81" s="151"/>
      <c r="FH81" s="151"/>
      <c r="FI81" s="151"/>
      <c r="FJ81" s="151"/>
      <c r="FK81" s="151"/>
      <c r="FL81" s="151"/>
      <c r="FM81" s="151"/>
      <c r="FN81" s="151"/>
      <c r="FO81" s="151"/>
      <c r="FP81" s="151"/>
      <c r="FQ81" s="151"/>
      <c r="FR81" s="151"/>
      <c r="FS81" s="151"/>
      <c r="FT81" s="151"/>
      <c r="FU81" s="151"/>
      <c r="FV81" s="151"/>
      <c r="FW81" s="151"/>
      <c r="FX81" s="151"/>
      <c r="FY81" s="151"/>
      <c r="FZ81" s="151"/>
      <c r="GA81" s="151"/>
      <c r="GB81" s="151"/>
      <c r="GC81" s="151"/>
      <c r="GD81" s="151"/>
      <c r="GE81" s="151"/>
      <c r="GF81" s="151"/>
      <c r="GG81" s="151"/>
      <c r="GH81" s="151"/>
      <c r="GI81" s="151"/>
      <c r="GJ81" s="151"/>
      <c r="GK81" s="151"/>
      <c r="GL81" s="151"/>
      <c r="GM81" s="151"/>
      <c r="GN81" s="151"/>
      <c r="GO81" s="151"/>
      <c r="GP81" s="151"/>
      <c r="GQ81" s="151"/>
      <c r="GR81" s="151"/>
      <c r="GS81" s="151"/>
      <c r="GT81" s="151"/>
      <c r="GU81" s="151"/>
      <c r="GV81" s="151"/>
      <c r="GW81" s="151"/>
      <c r="GX81" s="151"/>
      <c r="GY81" s="151"/>
      <c r="GZ81" s="151"/>
      <c r="HA81" s="151"/>
      <c r="HB81" s="151"/>
      <c r="HC81" s="151"/>
      <c r="HD81" s="151"/>
      <c r="HE81" s="151"/>
      <c r="HF81" s="151"/>
      <c r="HG81" s="151"/>
      <c r="HH81" s="151"/>
      <c r="HI81" s="151"/>
      <c r="HJ81" s="151"/>
      <c r="HK81" s="151"/>
      <c r="HL81" s="151"/>
      <c r="HM81" s="151"/>
      <c r="HN81" s="151"/>
      <c r="HO81" s="151"/>
      <c r="HP81" s="151"/>
      <c r="HQ81" s="151"/>
      <c r="HR81" s="151"/>
      <c r="HS81" s="151"/>
      <c r="HT81" s="151"/>
      <c r="HU81" s="151"/>
      <c r="HV81" s="151"/>
      <c r="HW81" s="151"/>
      <c r="HX81" s="151"/>
      <c r="HY81" s="151"/>
      <c r="HZ81" s="151"/>
    </row>
    <row r="82" spans="1:234">
      <c r="A82" s="144" t="s">
        <v>1016</v>
      </c>
      <c r="B82" s="144"/>
      <c r="C82" s="144"/>
      <c r="D82" s="144"/>
      <c r="E82" s="144"/>
      <c r="F82" s="144"/>
      <c r="G82" s="145"/>
      <c r="H82" s="145"/>
      <c r="I82" s="145"/>
      <c r="J82" s="146"/>
      <c r="K82" s="140" t="s">
        <v>830</v>
      </c>
      <c r="L82" s="140" t="s">
        <v>830</v>
      </c>
      <c r="M82" s="140" t="s">
        <v>830</v>
      </c>
      <c r="N82" s="140" t="s">
        <v>830</v>
      </c>
    </row>
    <row r="83" spans="1:234">
      <c r="A83" s="210" t="s">
        <v>869</v>
      </c>
      <c r="B83" s="211"/>
      <c r="C83" s="164"/>
      <c r="D83" s="164"/>
      <c r="E83" s="164"/>
      <c r="F83" s="164"/>
      <c r="G83" s="164"/>
      <c r="H83" s="164"/>
      <c r="I83" s="343"/>
      <c r="J83" s="164"/>
      <c r="K83" s="343"/>
      <c r="L83" s="343"/>
      <c r="M83" s="343"/>
      <c r="N83" s="224"/>
    </row>
    <row r="84" spans="1:234" ht="12.75" customHeight="1">
      <c r="A84" s="263" t="s">
        <v>157</v>
      </c>
      <c r="B84" s="157" t="s">
        <v>870</v>
      </c>
      <c r="C84" s="157"/>
      <c r="D84" s="157"/>
      <c r="E84" s="157"/>
      <c r="F84" s="157"/>
      <c r="G84" s="157"/>
      <c r="H84" s="157"/>
      <c r="I84" s="237"/>
      <c r="J84" s="157"/>
      <c r="K84" s="238"/>
      <c r="L84" s="238"/>
      <c r="M84" s="238"/>
      <c r="N84" s="238"/>
    </row>
    <row r="85" spans="1:234" ht="14.1" customHeight="1">
      <c r="A85" s="210" t="s">
        <v>175</v>
      </c>
      <c r="B85" s="204"/>
      <c r="C85" s="231"/>
      <c r="D85" s="231"/>
      <c r="E85" s="231"/>
      <c r="F85" s="231"/>
      <c r="G85" s="231"/>
      <c r="H85" s="231"/>
      <c r="I85" s="167"/>
      <c r="J85" s="205"/>
      <c r="K85" s="232">
        <f>SUM(K84)</f>
        <v>0</v>
      </c>
      <c r="L85" s="232">
        <f>SUM(L84)</f>
        <v>0</v>
      </c>
      <c r="M85" s="232">
        <f>SUM(M84)</f>
        <v>0</v>
      </c>
      <c r="N85" s="232">
        <f>SUM(N84)</f>
        <v>0</v>
      </c>
      <c r="O85" s="150"/>
      <c r="P85" s="150"/>
      <c r="Q85" s="150"/>
      <c r="R85" s="150"/>
      <c r="S85" s="150"/>
      <c r="T85" s="150"/>
      <c r="U85" s="150"/>
      <c r="V85" s="150"/>
      <c r="W85" s="150"/>
      <c r="X85" s="150"/>
      <c r="Y85" s="150"/>
      <c r="Z85" s="150"/>
      <c r="AA85" s="150"/>
      <c r="AB85" s="150"/>
      <c r="AC85" s="150"/>
      <c r="AD85" s="150"/>
      <c r="AE85" s="150"/>
      <c r="AF85" s="150"/>
      <c r="AG85" s="150"/>
      <c r="AH85" s="150"/>
      <c r="AI85" s="150"/>
      <c r="AJ85" s="150"/>
      <c r="AK85" s="150"/>
      <c r="AL85" s="150"/>
      <c r="AM85" s="150"/>
      <c r="AN85" s="150"/>
      <c r="AO85" s="150"/>
      <c r="AP85" s="150"/>
      <c r="AQ85" s="150"/>
      <c r="AR85" s="150"/>
      <c r="AS85" s="150"/>
      <c r="AT85" s="150"/>
      <c r="AU85" s="150"/>
      <c r="AV85" s="150"/>
      <c r="AW85" s="150"/>
      <c r="AX85" s="150"/>
      <c r="AY85" s="150"/>
      <c r="AZ85" s="150"/>
      <c r="BA85" s="150"/>
      <c r="BB85" s="150"/>
      <c r="BC85" s="150"/>
      <c r="BD85" s="150"/>
      <c r="BE85" s="150"/>
      <c r="BF85" s="150"/>
      <c r="BG85" s="150"/>
      <c r="BH85" s="150"/>
      <c r="BI85" s="150"/>
      <c r="BJ85" s="150"/>
      <c r="BK85" s="150"/>
      <c r="BL85" s="150"/>
      <c r="BM85" s="150"/>
      <c r="BN85" s="150"/>
      <c r="BO85" s="150"/>
      <c r="BP85" s="150"/>
      <c r="BQ85" s="150"/>
      <c r="BR85" s="150"/>
      <c r="BS85" s="150"/>
      <c r="BT85" s="150"/>
      <c r="BU85" s="150"/>
      <c r="BV85" s="150"/>
      <c r="BW85" s="150"/>
      <c r="BX85" s="150"/>
      <c r="BY85" s="150"/>
      <c r="BZ85" s="150"/>
      <c r="CA85" s="150"/>
      <c r="CB85" s="150"/>
      <c r="CC85" s="150"/>
      <c r="CD85" s="150"/>
      <c r="CE85" s="150"/>
      <c r="CF85" s="150"/>
      <c r="CG85" s="151"/>
      <c r="CH85" s="151"/>
      <c r="CI85" s="151"/>
      <c r="CJ85" s="151"/>
      <c r="CK85" s="151"/>
      <c r="CL85" s="151"/>
      <c r="CM85" s="151"/>
      <c r="CN85" s="151"/>
      <c r="CO85" s="151"/>
      <c r="CP85" s="151"/>
      <c r="CQ85" s="151"/>
      <c r="CR85" s="151"/>
      <c r="CS85" s="151"/>
      <c r="CT85" s="151"/>
      <c r="CU85" s="151"/>
      <c r="CV85" s="151"/>
      <c r="CW85" s="151"/>
      <c r="CX85" s="151"/>
      <c r="CY85" s="151"/>
      <c r="CZ85" s="151"/>
      <c r="DA85" s="151"/>
      <c r="DB85" s="151"/>
      <c r="DC85" s="151"/>
      <c r="DD85" s="151"/>
      <c r="DE85" s="151"/>
      <c r="DF85" s="151"/>
      <c r="DG85" s="151"/>
      <c r="DH85" s="151"/>
      <c r="DI85" s="151"/>
      <c r="DJ85" s="151"/>
      <c r="DK85" s="151"/>
      <c r="DL85" s="151"/>
      <c r="DM85" s="151"/>
      <c r="DN85" s="151"/>
      <c r="DO85" s="151"/>
      <c r="DP85" s="151"/>
      <c r="DQ85" s="151"/>
      <c r="DR85" s="151"/>
      <c r="DS85" s="151"/>
      <c r="DT85" s="151"/>
      <c r="DU85" s="151"/>
      <c r="DV85" s="151"/>
      <c r="DW85" s="151"/>
      <c r="DX85" s="151"/>
      <c r="DY85" s="151"/>
      <c r="DZ85" s="151"/>
      <c r="EA85" s="151"/>
      <c r="EB85" s="151"/>
      <c r="EC85" s="151"/>
      <c r="ED85" s="151"/>
      <c r="EE85" s="151"/>
      <c r="EF85" s="151"/>
      <c r="EG85" s="151"/>
      <c r="EH85" s="151"/>
      <c r="EI85" s="151"/>
      <c r="EJ85" s="151"/>
      <c r="EK85" s="151"/>
      <c r="EL85" s="151"/>
      <c r="EM85" s="151"/>
      <c r="EN85" s="151"/>
      <c r="EO85" s="151"/>
      <c r="EP85" s="151"/>
      <c r="EQ85" s="151"/>
      <c r="ER85" s="151"/>
      <c r="ES85" s="151"/>
      <c r="ET85" s="151"/>
      <c r="EU85" s="151"/>
      <c r="EV85" s="151"/>
      <c r="EW85" s="151"/>
      <c r="EX85" s="151"/>
      <c r="EY85" s="151"/>
      <c r="EZ85" s="151"/>
      <c r="FA85" s="151"/>
      <c r="FB85" s="151"/>
      <c r="FC85" s="151"/>
      <c r="FD85" s="151"/>
      <c r="FE85" s="151"/>
      <c r="FF85" s="151"/>
      <c r="FG85" s="151"/>
      <c r="FH85" s="151"/>
      <c r="FI85" s="151"/>
      <c r="FJ85" s="151"/>
      <c r="FK85" s="151"/>
      <c r="FL85" s="151"/>
      <c r="FM85" s="151"/>
      <c r="FN85" s="151"/>
      <c r="FO85" s="151"/>
      <c r="FP85" s="151"/>
      <c r="FQ85" s="151"/>
      <c r="FR85" s="151"/>
      <c r="FS85" s="151"/>
      <c r="FT85" s="151"/>
      <c r="FU85" s="151"/>
      <c r="FV85" s="151"/>
      <c r="FW85" s="151"/>
      <c r="FX85" s="151"/>
      <c r="FY85" s="151"/>
      <c r="FZ85" s="151"/>
      <c r="GA85" s="151"/>
      <c r="GB85" s="151"/>
      <c r="GC85" s="151"/>
      <c r="GD85" s="151"/>
      <c r="GE85" s="151"/>
      <c r="GF85" s="151"/>
      <c r="GG85" s="151"/>
      <c r="GH85" s="151"/>
      <c r="GI85" s="151"/>
      <c r="GJ85" s="151"/>
      <c r="GK85" s="151"/>
      <c r="GL85" s="151"/>
      <c r="GM85" s="151"/>
      <c r="GN85" s="151"/>
      <c r="GO85" s="151"/>
      <c r="GP85" s="151"/>
      <c r="GQ85" s="151"/>
      <c r="GR85" s="151"/>
      <c r="GS85" s="151"/>
      <c r="GT85" s="151"/>
      <c r="GU85" s="151"/>
      <c r="GV85" s="151"/>
      <c r="GW85" s="151"/>
      <c r="GX85" s="151"/>
      <c r="GY85" s="151"/>
      <c r="GZ85" s="151"/>
      <c r="HA85" s="151"/>
      <c r="HB85" s="151"/>
      <c r="HC85" s="151"/>
      <c r="HD85" s="151"/>
      <c r="HE85" s="151"/>
      <c r="HF85" s="151"/>
      <c r="HG85" s="151"/>
      <c r="HH85" s="151"/>
      <c r="HI85" s="151"/>
      <c r="HJ85" s="151"/>
      <c r="HK85" s="151"/>
      <c r="HL85" s="151"/>
      <c r="HM85" s="151"/>
      <c r="HN85" s="151"/>
      <c r="HO85" s="151"/>
      <c r="HP85" s="151"/>
      <c r="HQ85" s="151"/>
      <c r="HR85" s="151"/>
      <c r="HS85" s="151"/>
      <c r="HT85" s="151"/>
      <c r="HU85" s="151"/>
      <c r="HV85" s="151"/>
      <c r="HW85" s="151"/>
      <c r="HX85" s="151"/>
      <c r="HY85" s="151"/>
      <c r="HZ85" s="151"/>
    </row>
    <row r="86" spans="1:234">
      <c r="A86" s="206" t="s">
        <v>871</v>
      </c>
      <c r="B86" s="207"/>
      <c r="C86" s="207"/>
      <c r="D86" s="207"/>
      <c r="E86" s="207"/>
      <c r="F86" s="207"/>
      <c r="G86" s="165"/>
      <c r="H86" s="165"/>
      <c r="I86" s="165"/>
      <c r="J86" s="233"/>
      <c r="K86" s="234" t="s">
        <v>830</v>
      </c>
      <c r="L86" s="234" t="s">
        <v>830</v>
      </c>
      <c r="M86" s="234" t="s">
        <v>830</v>
      </c>
      <c r="N86" s="234" t="s">
        <v>830</v>
      </c>
    </row>
    <row r="87" spans="1:234">
      <c r="A87" s="189" t="s">
        <v>872</v>
      </c>
      <c r="B87" s="178"/>
      <c r="C87" s="178"/>
      <c r="D87" s="163"/>
      <c r="E87" s="164"/>
      <c r="F87" s="164"/>
      <c r="G87" s="164"/>
      <c r="H87" s="164"/>
      <c r="I87" s="343"/>
      <c r="J87" s="164"/>
      <c r="K87" s="343"/>
      <c r="L87" s="343"/>
      <c r="M87" s="343"/>
      <c r="N87" s="343"/>
    </row>
    <row r="88" spans="1:234" ht="15" customHeight="1">
      <c r="A88" s="235" t="s">
        <v>218</v>
      </c>
      <c r="B88" s="157"/>
      <c r="C88" s="157"/>
      <c r="D88" s="157"/>
      <c r="E88" s="157"/>
      <c r="F88" s="157"/>
      <c r="G88" s="157"/>
      <c r="H88" s="157"/>
      <c r="I88" s="157"/>
      <c r="J88" s="157"/>
      <c r="K88" s="236" t="e">
        <f>K81</f>
        <v>#REF!</v>
      </c>
      <c r="L88" s="236" t="e">
        <f>L81</f>
        <v>#REF!</v>
      </c>
      <c r="M88" s="236" t="e">
        <f>M81</f>
        <v>#REF!</v>
      </c>
      <c r="N88" s="236" t="e">
        <f>N81</f>
        <v>#REF!</v>
      </c>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150"/>
      <c r="AL88" s="150"/>
      <c r="AM88" s="150"/>
      <c r="AN88" s="150"/>
      <c r="AO88" s="150"/>
      <c r="AP88" s="150"/>
      <c r="AQ88" s="150"/>
      <c r="AR88" s="150"/>
      <c r="AS88" s="150"/>
      <c r="AT88" s="150"/>
      <c r="AU88" s="150"/>
      <c r="AV88" s="150"/>
      <c r="AW88" s="150"/>
      <c r="AX88" s="150"/>
      <c r="AY88" s="150"/>
      <c r="AZ88" s="150"/>
      <c r="BA88" s="150"/>
      <c r="BB88" s="150"/>
      <c r="BC88" s="150"/>
      <c r="BD88" s="150"/>
      <c r="BE88" s="150"/>
      <c r="BF88" s="150"/>
      <c r="BG88" s="150"/>
      <c r="BH88" s="150"/>
      <c r="BI88" s="150"/>
      <c r="BJ88" s="150"/>
      <c r="BK88" s="150"/>
      <c r="BL88" s="150"/>
      <c r="BM88" s="150"/>
      <c r="BN88" s="150"/>
      <c r="BO88" s="150"/>
      <c r="BP88" s="150"/>
      <c r="BQ88" s="150"/>
      <c r="BR88" s="150"/>
      <c r="BS88" s="150"/>
      <c r="BT88" s="150"/>
      <c r="BU88" s="150"/>
      <c r="BV88" s="150"/>
      <c r="BW88" s="150"/>
      <c r="BX88" s="150"/>
      <c r="BY88" s="150"/>
      <c r="BZ88" s="150"/>
      <c r="CA88" s="150"/>
      <c r="CB88" s="150"/>
      <c r="CC88" s="150"/>
      <c r="CD88" s="150"/>
      <c r="CE88" s="150"/>
      <c r="CF88" s="150"/>
      <c r="CG88" s="151"/>
      <c r="CH88" s="151"/>
      <c r="CI88" s="151"/>
      <c r="CJ88" s="151"/>
      <c r="CK88" s="151"/>
      <c r="CL88" s="151"/>
      <c r="CM88" s="151"/>
      <c r="CN88" s="151"/>
      <c r="CO88" s="151"/>
      <c r="CP88" s="151"/>
      <c r="CQ88" s="151"/>
      <c r="CR88" s="151"/>
      <c r="CS88" s="151"/>
      <c r="CT88" s="151"/>
      <c r="CU88" s="151"/>
      <c r="CV88" s="151"/>
      <c r="CW88" s="151"/>
      <c r="CX88" s="151"/>
      <c r="CY88" s="151"/>
      <c r="CZ88" s="151"/>
      <c r="DA88" s="151"/>
      <c r="DB88" s="151"/>
      <c r="DC88" s="151"/>
      <c r="DD88" s="151"/>
      <c r="DE88" s="151"/>
      <c r="DF88" s="151"/>
      <c r="DG88" s="151"/>
      <c r="DH88" s="151"/>
      <c r="DI88" s="151"/>
      <c r="DJ88" s="151"/>
      <c r="DK88" s="151"/>
      <c r="DL88" s="151"/>
      <c r="DM88" s="151"/>
      <c r="DN88" s="151"/>
      <c r="DO88" s="151"/>
      <c r="DP88" s="151"/>
      <c r="DQ88" s="151"/>
      <c r="DR88" s="151"/>
      <c r="DS88" s="151"/>
      <c r="DT88" s="151"/>
      <c r="DU88" s="151"/>
      <c r="DV88" s="151"/>
      <c r="DW88" s="151"/>
      <c r="DX88" s="151"/>
      <c r="DY88" s="151"/>
      <c r="DZ88" s="151"/>
      <c r="EA88" s="151"/>
      <c r="EB88" s="151"/>
      <c r="EC88" s="151"/>
      <c r="ED88" s="151"/>
      <c r="EE88" s="151"/>
      <c r="EF88" s="151"/>
      <c r="EG88" s="151"/>
      <c r="EH88" s="151"/>
      <c r="EI88" s="151"/>
      <c r="EJ88" s="151"/>
      <c r="EK88" s="151"/>
      <c r="EL88" s="151"/>
      <c r="EM88" s="151"/>
      <c r="EN88" s="151"/>
      <c r="EO88" s="151"/>
      <c r="EP88" s="151"/>
      <c r="EQ88" s="151"/>
      <c r="ER88" s="151"/>
      <c r="ES88" s="151"/>
      <c r="ET88" s="151"/>
      <c r="EU88" s="151"/>
      <c r="EV88" s="151"/>
      <c r="EW88" s="151"/>
      <c r="EX88" s="151"/>
      <c r="EY88" s="151"/>
      <c r="EZ88" s="151"/>
      <c r="FA88" s="151"/>
      <c r="FB88" s="151"/>
      <c r="FC88" s="151"/>
      <c r="FD88" s="151"/>
      <c r="FE88" s="151"/>
      <c r="FF88" s="151"/>
      <c r="FG88" s="151"/>
      <c r="FH88" s="151"/>
      <c r="FI88" s="151"/>
      <c r="FJ88" s="151"/>
      <c r="FK88" s="151"/>
      <c r="FL88" s="151"/>
      <c r="FM88" s="151"/>
      <c r="FN88" s="151"/>
      <c r="FO88" s="151"/>
      <c r="FP88" s="151"/>
      <c r="FQ88" s="151"/>
      <c r="FR88" s="151"/>
      <c r="FS88" s="151"/>
      <c r="FT88" s="151"/>
      <c r="FU88" s="151"/>
      <c r="FV88" s="151"/>
      <c r="FW88" s="151"/>
      <c r="FX88" s="151"/>
      <c r="FY88" s="151"/>
      <c r="FZ88" s="151"/>
      <c r="GA88" s="151"/>
      <c r="GB88" s="151"/>
      <c r="GC88" s="151"/>
      <c r="GD88" s="151"/>
      <c r="GE88" s="151"/>
      <c r="GF88" s="151"/>
      <c r="GG88" s="151"/>
      <c r="GH88" s="151"/>
      <c r="GI88" s="151"/>
      <c r="GJ88" s="151"/>
      <c r="GK88" s="151"/>
      <c r="GL88" s="151"/>
      <c r="GM88" s="151"/>
      <c r="GN88" s="151"/>
      <c r="GO88" s="151"/>
      <c r="GP88" s="151"/>
      <c r="GQ88" s="151"/>
      <c r="GR88" s="151"/>
      <c r="GS88" s="151"/>
      <c r="GT88" s="151"/>
      <c r="GU88" s="151"/>
      <c r="GV88" s="151"/>
      <c r="GW88" s="151"/>
      <c r="GX88" s="151"/>
      <c r="GY88" s="151"/>
      <c r="GZ88" s="151"/>
      <c r="HA88" s="151"/>
      <c r="HB88" s="151"/>
      <c r="HC88" s="151"/>
      <c r="HD88" s="151"/>
      <c r="HE88" s="151"/>
      <c r="HF88" s="151"/>
      <c r="HG88" s="151"/>
      <c r="HH88" s="151"/>
      <c r="HI88" s="151"/>
      <c r="HJ88" s="151"/>
      <c r="HK88" s="151"/>
      <c r="HL88" s="151"/>
      <c r="HM88" s="151"/>
      <c r="HN88" s="151"/>
      <c r="HO88" s="151"/>
      <c r="HP88" s="151"/>
      <c r="HQ88" s="151"/>
      <c r="HR88" s="151"/>
      <c r="HS88" s="151"/>
      <c r="HT88" s="151"/>
      <c r="HU88" s="151"/>
      <c r="HV88" s="151"/>
      <c r="HW88" s="151"/>
      <c r="HX88" s="151"/>
      <c r="HY88" s="151"/>
      <c r="HZ88" s="151"/>
    </row>
    <row r="89" spans="1:234" ht="15" customHeight="1">
      <c r="A89" s="216" t="s">
        <v>869</v>
      </c>
      <c r="B89" s="128"/>
      <c r="C89" s="128"/>
      <c r="D89" s="128"/>
      <c r="E89" s="128"/>
      <c r="F89" s="128"/>
      <c r="G89" s="128"/>
      <c r="H89" s="128"/>
      <c r="I89" s="128"/>
      <c r="J89" s="155"/>
      <c r="K89" s="184">
        <f>K85</f>
        <v>0</v>
      </c>
      <c r="L89" s="184">
        <f>L85</f>
        <v>0</v>
      </c>
      <c r="M89" s="184">
        <f>M85</f>
        <v>0</v>
      </c>
      <c r="N89" s="184">
        <f>N85</f>
        <v>0</v>
      </c>
      <c r="O89" s="150"/>
      <c r="P89" s="150"/>
      <c r="Q89" s="150"/>
      <c r="R89" s="150"/>
      <c r="S89" s="150"/>
      <c r="T89" s="150"/>
      <c r="U89" s="150"/>
      <c r="V89" s="150"/>
      <c r="W89" s="150"/>
      <c r="X89" s="150"/>
      <c r="Y89" s="150"/>
      <c r="Z89" s="150"/>
      <c r="AA89" s="150"/>
      <c r="AB89" s="150"/>
      <c r="AC89" s="150"/>
      <c r="AD89" s="150"/>
      <c r="AE89" s="150"/>
      <c r="AF89" s="150"/>
      <c r="AG89" s="150"/>
      <c r="AH89" s="150"/>
      <c r="AI89" s="150"/>
      <c r="AJ89" s="150"/>
      <c r="AK89" s="150"/>
      <c r="AL89" s="150"/>
      <c r="AM89" s="150"/>
      <c r="AN89" s="150"/>
      <c r="AO89" s="150"/>
      <c r="AP89" s="150"/>
      <c r="AQ89" s="150"/>
      <c r="AR89" s="150"/>
      <c r="AS89" s="150"/>
      <c r="AT89" s="150"/>
      <c r="AU89" s="150"/>
      <c r="AV89" s="150"/>
      <c r="AW89" s="150"/>
      <c r="AX89" s="150"/>
      <c r="AY89" s="150"/>
      <c r="AZ89" s="150"/>
      <c r="BA89" s="150"/>
      <c r="BB89" s="150"/>
      <c r="BC89" s="150"/>
      <c r="BD89" s="150"/>
      <c r="BE89" s="150"/>
      <c r="BF89" s="150"/>
      <c r="BG89" s="150"/>
      <c r="BH89" s="150"/>
      <c r="BI89" s="150"/>
      <c r="BJ89" s="150"/>
      <c r="BK89" s="150"/>
      <c r="BL89" s="150"/>
      <c r="BM89" s="150"/>
      <c r="BN89" s="150"/>
      <c r="BO89" s="150"/>
      <c r="BP89" s="150"/>
      <c r="BQ89" s="150"/>
      <c r="BR89" s="150"/>
      <c r="BS89" s="150"/>
      <c r="BT89" s="150"/>
      <c r="BU89" s="150"/>
      <c r="BV89" s="150"/>
      <c r="BW89" s="150"/>
      <c r="BX89" s="150"/>
      <c r="BY89" s="150"/>
      <c r="BZ89" s="150"/>
      <c r="CA89" s="150"/>
      <c r="CB89" s="150"/>
      <c r="CC89" s="150"/>
      <c r="CD89" s="150"/>
      <c r="CE89" s="150"/>
      <c r="CF89" s="150"/>
      <c r="CG89" s="151"/>
      <c r="CH89" s="151"/>
      <c r="CI89" s="151"/>
      <c r="CJ89" s="151"/>
      <c r="CK89" s="151"/>
      <c r="CL89" s="151"/>
      <c r="CM89" s="151"/>
      <c r="CN89" s="151"/>
      <c r="CO89" s="151"/>
      <c r="CP89" s="151"/>
      <c r="CQ89" s="151"/>
      <c r="CR89" s="151"/>
      <c r="CS89" s="151"/>
      <c r="CT89" s="151"/>
      <c r="CU89" s="151"/>
      <c r="CV89" s="151"/>
      <c r="CW89" s="151"/>
      <c r="CX89" s="151"/>
      <c r="CY89" s="151"/>
      <c r="CZ89" s="151"/>
      <c r="DA89" s="151"/>
      <c r="DB89" s="151"/>
      <c r="DC89" s="151"/>
      <c r="DD89" s="151"/>
      <c r="DE89" s="151"/>
      <c r="DF89" s="151"/>
      <c r="DG89" s="151"/>
      <c r="DH89" s="151"/>
      <c r="DI89" s="151"/>
      <c r="DJ89" s="151"/>
      <c r="DK89" s="151"/>
      <c r="DL89" s="151"/>
      <c r="DM89" s="151"/>
      <c r="DN89" s="151"/>
      <c r="DO89" s="151"/>
      <c r="DP89" s="151"/>
      <c r="DQ89" s="151"/>
      <c r="DR89" s="151"/>
      <c r="DS89" s="151"/>
      <c r="DT89" s="151"/>
      <c r="DU89" s="151"/>
      <c r="DV89" s="151"/>
      <c r="DW89" s="151"/>
      <c r="DX89" s="151"/>
      <c r="DY89" s="151"/>
      <c r="DZ89" s="151"/>
      <c r="EA89" s="151"/>
      <c r="EB89" s="151"/>
      <c r="EC89" s="151"/>
      <c r="ED89" s="151"/>
      <c r="EE89" s="151"/>
      <c r="EF89" s="151"/>
      <c r="EG89" s="151"/>
      <c r="EH89" s="151"/>
      <c r="EI89" s="151"/>
      <c r="EJ89" s="151"/>
      <c r="EK89" s="151"/>
      <c r="EL89" s="151"/>
      <c r="EM89" s="151"/>
      <c r="EN89" s="151"/>
      <c r="EO89" s="151"/>
      <c r="EP89" s="151"/>
      <c r="EQ89" s="151"/>
      <c r="ER89" s="151"/>
      <c r="ES89" s="151"/>
      <c r="ET89" s="151"/>
      <c r="EU89" s="151"/>
      <c r="EV89" s="151"/>
      <c r="EW89" s="151"/>
      <c r="EX89" s="151"/>
      <c r="EY89" s="151"/>
      <c r="EZ89" s="151"/>
      <c r="FA89" s="151"/>
      <c r="FB89" s="151"/>
      <c r="FC89" s="151"/>
      <c r="FD89" s="151"/>
      <c r="FE89" s="151"/>
      <c r="FF89" s="151"/>
      <c r="FG89" s="151"/>
      <c r="FH89" s="151"/>
      <c r="FI89" s="151"/>
      <c r="FJ89" s="151"/>
      <c r="FK89" s="151"/>
      <c r="FL89" s="151"/>
      <c r="FM89" s="151"/>
      <c r="FN89" s="151"/>
      <c r="FO89" s="151"/>
      <c r="FP89" s="151"/>
      <c r="FQ89" s="151"/>
      <c r="FR89" s="151"/>
      <c r="FS89" s="151"/>
      <c r="FT89" s="151"/>
      <c r="FU89" s="151"/>
      <c r="FV89" s="151"/>
      <c r="FW89" s="151"/>
      <c r="FX89" s="151"/>
      <c r="FY89" s="151"/>
      <c r="FZ89" s="151"/>
      <c r="GA89" s="151"/>
      <c r="GB89" s="151"/>
      <c r="GC89" s="151"/>
      <c r="GD89" s="151"/>
      <c r="GE89" s="151"/>
      <c r="GF89" s="151"/>
      <c r="GG89" s="151"/>
      <c r="GH89" s="151"/>
      <c r="GI89" s="151"/>
      <c r="GJ89" s="151"/>
      <c r="GK89" s="151"/>
      <c r="GL89" s="151"/>
      <c r="GM89" s="151"/>
      <c r="GN89" s="151"/>
      <c r="GO89" s="151"/>
      <c r="GP89" s="151"/>
      <c r="GQ89" s="151"/>
      <c r="GR89" s="151"/>
      <c r="GS89" s="151"/>
      <c r="GT89" s="151"/>
      <c r="GU89" s="151"/>
      <c r="GV89" s="151"/>
      <c r="GW89" s="151"/>
      <c r="GX89" s="151"/>
      <c r="GY89" s="151"/>
      <c r="GZ89" s="151"/>
      <c r="HA89" s="151"/>
      <c r="HB89" s="151"/>
      <c r="HC89" s="151"/>
      <c r="HD89" s="151"/>
      <c r="HE89" s="151"/>
      <c r="HF89" s="151"/>
      <c r="HG89" s="151"/>
      <c r="HH89" s="151"/>
      <c r="HI89" s="151"/>
      <c r="HJ89" s="151"/>
      <c r="HK89" s="151"/>
      <c r="HL89" s="151"/>
      <c r="HM89" s="151"/>
      <c r="HN89" s="151"/>
      <c r="HO89" s="151"/>
      <c r="HP89" s="151"/>
      <c r="HQ89" s="151"/>
      <c r="HR89" s="151"/>
      <c r="HS89" s="151"/>
      <c r="HT89" s="151"/>
      <c r="HU89" s="151"/>
      <c r="HV89" s="151"/>
      <c r="HW89" s="151"/>
      <c r="HX89" s="151"/>
      <c r="HY89" s="151"/>
      <c r="HZ89" s="151"/>
    </row>
    <row r="90" spans="1:234" ht="15" customHeight="1">
      <c r="A90" s="230" t="s">
        <v>175</v>
      </c>
      <c r="B90" s="204"/>
      <c r="C90" s="204"/>
      <c r="D90" s="141"/>
      <c r="E90" s="141"/>
      <c r="F90" s="141"/>
      <c r="G90" s="141"/>
      <c r="H90" s="141"/>
      <c r="I90" s="141"/>
      <c r="J90" s="152"/>
      <c r="K90" s="232" t="e">
        <f>SUM(K88:K89)</f>
        <v>#REF!</v>
      </c>
      <c r="L90" s="232" t="e">
        <f>SUM(L88:L89)</f>
        <v>#REF!</v>
      </c>
      <c r="M90" s="232" t="e">
        <f>SUM(M88:M89)</f>
        <v>#REF!</v>
      </c>
      <c r="N90" s="232" t="e">
        <f>SUM(N88:N89)</f>
        <v>#REF!</v>
      </c>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c r="BF90" s="150"/>
      <c r="BG90" s="150"/>
      <c r="BH90" s="150"/>
      <c r="BI90" s="150"/>
      <c r="BJ90" s="150"/>
      <c r="BK90" s="150"/>
      <c r="BL90" s="150"/>
      <c r="BM90" s="150"/>
      <c r="BN90" s="150"/>
      <c r="BO90" s="150"/>
      <c r="BP90" s="150"/>
      <c r="BQ90" s="150"/>
      <c r="BR90" s="150"/>
      <c r="BS90" s="150"/>
      <c r="BT90" s="150"/>
      <c r="BU90" s="150"/>
      <c r="BV90" s="150"/>
      <c r="BW90" s="150"/>
      <c r="BX90" s="150"/>
      <c r="BY90" s="150"/>
      <c r="BZ90" s="150"/>
      <c r="CA90" s="150"/>
      <c r="CB90" s="150"/>
      <c r="CC90" s="150"/>
      <c r="CD90" s="150"/>
      <c r="CE90" s="150"/>
      <c r="CF90" s="150"/>
      <c r="CG90" s="151"/>
      <c r="CH90" s="151"/>
      <c r="CI90" s="151"/>
      <c r="CJ90" s="151"/>
      <c r="CK90" s="151"/>
      <c r="CL90" s="151"/>
      <c r="CM90" s="151"/>
      <c r="CN90" s="151"/>
      <c r="CO90" s="151"/>
      <c r="CP90" s="151"/>
      <c r="CQ90" s="151"/>
      <c r="CR90" s="151"/>
      <c r="CS90" s="151"/>
      <c r="CT90" s="151"/>
      <c r="CU90" s="151"/>
      <c r="CV90" s="151"/>
      <c r="CW90" s="151"/>
      <c r="CX90" s="151"/>
      <c r="CY90" s="151"/>
      <c r="CZ90" s="151"/>
      <c r="DA90" s="151"/>
      <c r="DB90" s="151"/>
      <c r="DC90" s="151"/>
      <c r="DD90" s="151"/>
      <c r="DE90" s="151"/>
      <c r="DF90" s="151"/>
      <c r="DG90" s="151"/>
      <c r="DH90" s="151"/>
      <c r="DI90" s="151"/>
      <c r="DJ90" s="151"/>
      <c r="DK90" s="151"/>
      <c r="DL90" s="151"/>
      <c r="DM90" s="151"/>
      <c r="DN90" s="151"/>
      <c r="DO90" s="151"/>
      <c r="DP90" s="151"/>
      <c r="DQ90" s="151"/>
      <c r="DR90" s="151"/>
      <c r="DS90" s="151"/>
      <c r="DT90" s="151"/>
      <c r="DU90" s="151"/>
      <c r="DV90" s="151"/>
      <c r="DW90" s="151"/>
      <c r="DX90" s="151"/>
      <c r="DY90" s="151"/>
      <c r="DZ90" s="151"/>
      <c r="EA90" s="151"/>
      <c r="EB90" s="151"/>
      <c r="EC90" s="151"/>
      <c r="ED90" s="151"/>
      <c r="EE90" s="151"/>
      <c r="EF90" s="151"/>
      <c r="EG90" s="151"/>
      <c r="EH90" s="151"/>
      <c r="EI90" s="151"/>
      <c r="EJ90" s="151"/>
      <c r="EK90" s="151"/>
      <c r="EL90" s="151"/>
      <c r="EM90" s="151"/>
      <c r="EN90" s="151"/>
      <c r="EO90" s="151"/>
      <c r="EP90" s="151"/>
      <c r="EQ90" s="151"/>
      <c r="ER90" s="151"/>
      <c r="ES90" s="151"/>
      <c r="ET90" s="151"/>
      <c r="EU90" s="151"/>
      <c r="EV90" s="151"/>
      <c r="EW90" s="151"/>
      <c r="EX90" s="151"/>
      <c r="EY90" s="151"/>
      <c r="EZ90" s="151"/>
      <c r="FA90" s="151"/>
      <c r="FB90" s="151"/>
      <c r="FC90" s="151"/>
      <c r="FD90" s="151"/>
      <c r="FE90" s="151"/>
      <c r="FF90" s="151"/>
      <c r="FG90" s="151"/>
      <c r="FH90" s="151"/>
      <c r="FI90" s="151"/>
      <c r="FJ90" s="151"/>
      <c r="FK90" s="151"/>
      <c r="FL90" s="151"/>
      <c r="FM90" s="151"/>
      <c r="FN90" s="151"/>
      <c r="FO90" s="151"/>
      <c r="FP90" s="151"/>
      <c r="FQ90" s="151"/>
      <c r="FR90" s="151"/>
      <c r="FS90" s="151"/>
      <c r="FT90" s="151"/>
      <c r="FU90" s="151"/>
      <c r="FV90" s="151"/>
      <c r="FW90" s="151"/>
      <c r="FX90" s="151"/>
      <c r="FY90" s="151"/>
      <c r="FZ90" s="151"/>
      <c r="GA90" s="151"/>
      <c r="GB90" s="151"/>
      <c r="GC90" s="151"/>
      <c r="GD90" s="151"/>
      <c r="GE90" s="151"/>
      <c r="GF90" s="151"/>
      <c r="GG90" s="151"/>
      <c r="GH90" s="151"/>
      <c r="GI90" s="151"/>
      <c r="GJ90" s="151"/>
      <c r="GK90" s="151"/>
      <c r="GL90" s="151"/>
      <c r="GM90" s="151"/>
      <c r="GN90" s="151"/>
      <c r="GO90" s="151"/>
      <c r="GP90" s="151"/>
      <c r="GQ90" s="151"/>
      <c r="GR90" s="151"/>
      <c r="GS90" s="151"/>
      <c r="GT90" s="151"/>
      <c r="GU90" s="151"/>
      <c r="GV90" s="151"/>
      <c r="GW90" s="151"/>
      <c r="GX90" s="151"/>
      <c r="GY90" s="151"/>
      <c r="GZ90" s="151"/>
      <c r="HA90" s="151"/>
      <c r="HB90" s="151"/>
      <c r="HC90" s="151"/>
      <c r="HD90" s="151"/>
      <c r="HE90" s="151"/>
      <c r="HF90" s="151"/>
      <c r="HG90" s="151"/>
      <c r="HH90" s="151"/>
      <c r="HI90" s="151"/>
      <c r="HJ90" s="151"/>
      <c r="HK90" s="151"/>
      <c r="HL90" s="151"/>
      <c r="HM90" s="151"/>
      <c r="HN90" s="151"/>
      <c r="HO90" s="151"/>
      <c r="HP90" s="151"/>
      <c r="HQ90" s="151"/>
      <c r="HR90" s="151"/>
      <c r="HS90" s="151"/>
      <c r="HT90" s="151"/>
      <c r="HU90" s="151"/>
      <c r="HV90" s="151"/>
      <c r="HW90" s="151"/>
      <c r="HX90" s="151"/>
      <c r="HY90" s="151"/>
      <c r="HZ90" s="151"/>
    </row>
    <row r="91" spans="1:234" ht="22.5" customHeight="1">
      <c r="A91" s="206" t="s">
        <v>1017</v>
      </c>
      <c r="B91" s="207"/>
      <c r="C91" s="207"/>
      <c r="D91" s="207"/>
      <c r="E91" s="207"/>
      <c r="F91" s="207"/>
      <c r="G91" s="165"/>
      <c r="H91" s="165"/>
      <c r="I91" s="165"/>
      <c r="J91" s="233"/>
      <c r="K91" s="234"/>
      <c r="L91" s="234"/>
      <c r="M91" s="234"/>
      <c r="N91" s="234"/>
    </row>
    <row r="92" spans="1:234">
      <c r="A92" s="189" t="s">
        <v>874</v>
      </c>
      <c r="B92" s="193"/>
      <c r="C92" s="193"/>
      <c r="D92" s="162"/>
      <c r="E92" s="162"/>
      <c r="F92" s="162"/>
      <c r="G92" s="162"/>
      <c r="H92" s="162"/>
      <c r="I92" s="348"/>
      <c r="J92" s="162"/>
      <c r="K92" s="343"/>
      <c r="L92" s="343"/>
      <c r="M92" s="343"/>
      <c r="N92" s="343"/>
    </row>
    <row r="93" spans="1:234" ht="14.1" customHeight="1">
      <c r="A93" s="254" t="s">
        <v>157</v>
      </c>
      <c r="B93" s="320" t="s">
        <v>1018</v>
      </c>
      <c r="C93" s="164"/>
      <c r="D93" s="164"/>
      <c r="E93" s="164"/>
      <c r="F93" s="164"/>
      <c r="G93" s="164"/>
      <c r="H93" s="164"/>
      <c r="I93" s="164"/>
      <c r="J93" s="321"/>
      <c r="K93" s="330" t="e">
        <f>'Dados - Composição PCFP'!#REF!</f>
        <v>#REF!</v>
      </c>
      <c r="L93" s="185" t="e">
        <f>'Dados - Composição PCFP'!#REF!</f>
        <v>#REF!</v>
      </c>
      <c r="M93" s="185" t="e">
        <f>'Dados - Composição PCFP'!#REF!</f>
        <v>#REF!</v>
      </c>
      <c r="N93" s="185" t="e">
        <f>'Dados - Composição PCFP'!#REF!</f>
        <v>#REF!</v>
      </c>
    </row>
    <row r="94" spans="1:234" ht="14.1" customHeight="1">
      <c r="A94" s="254" t="s">
        <v>159</v>
      </c>
      <c r="B94" s="320" t="s">
        <v>876</v>
      </c>
      <c r="C94" s="164"/>
      <c r="D94" s="164"/>
      <c r="E94" s="164"/>
      <c r="F94" s="164"/>
      <c r="G94" s="164"/>
      <c r="H94" s="164"/>
      <c r="I94" s="164"/>
      <c r="J94" s="321"/>
      <c r="K94" s="330" t="e">
        <f>'Dados - Composição PCFP'!#REF!</f>
        <v>#REF!</v>
      </c>
      <c r="L94" s="185" t="e">
        <f>'Dados - Composição PCFP'!#REF!</f>
        <v>#REF!</v>
      </c>
      <c r="M94" s="185" t="e">
        <f>'Dados - Composição PCFP'!#REF!</f>
        <v>#REF!</v>
      </c>
      <c r="N94" s="185" t="e">
        <f>'Dados - Composição PCFP'!#REF!</f>
        <v>#REF!</v>
      </c>
    </row>
    <row r="95" spans="1:234" ht="15" customHeight="1">
      <c r="A95" s="254" t="s">
        <v>161</v>
      </c>
      <c r="B95" s="320" t="s">
        <v>1019</v>
      </c>
      <c r="C95" s="164"/>
      <c r="D95" s="164"/>
      <c r="E95" s="164"/>
      <c r="F95" s="164"/>
      <c r="G95" s="164"/>
      <c r="H95" s="164"/>
      <c r="I95" s="164"/>
      <c r="J95" s="321"/>
      <c r="K95" s="330" t="e">
        <f>'Dados - Composição PCFP'!#REF!</f>
        <v>#REF!</v>
      </c>
      <c r="L95" s="185" t="e">
        <f>'Dados - Composição PCFP'!#REF!</f>
        <v>#REF!</v>
      </c>
      <c r="M95" s="185" t="e">
        <f>'Dados - Composição PCFP'!#REF!</f>
        <v>#REF!</v>
      </c>
      <c r="N95" s="185" t="e">
        <f>'Dados - Composição PCFP'!#REF!</f>
        <v>#REF!</v>
      </c>
    </row>
    <row r="96" spans="1:234" ht="14.1" customHeight="1">
      <c r="A96" s="254" t="s">
        <v>165</v>
      </c>
      <c r="B96" s="320" t="s">
        <v>1020</v>
      </c>
      <c r="C96" s="164"/>
      <c r="D96" s="164"/>
      <c r="E96" s="164"/>
      <c r="F96" s="164"/>
      <c r="G96" s="164"/>
      <c r="H96" s="164"/>
      <c r="I96" s="164"/>
      <c r="J96" s="321"/>
      <c r="K96" s="330" t="e">
        <f>'Dados - Composição PCFP'!#REF!</f>
        <v>#REF!</v>
      </c>
      <c r="L96" s="330" t="e">
        <f>'Dados - Composição PCFP'!#REF!</f>
        <v>#REF!</v>
      </c>
      <c r="M96" s="330" t="e">
        <f>'Dados - Composição PCFP'!#REF!</f>
        <v>#REF!</v>
      </c>
      <c r="N96" s="330" t="e">
        <f>'Dados - Composição PCFP'!#REF!</f>
        <v>#REF!</v>
      </c>
    </row>
    <row r="97" spans="1:234" ht="14.1" customHeight="1">
      <c r="A97" s="276" t="s">
        <v>167</v>
      </c>
      <c r="B97" s="322" t="s">
        <v>879</v>
      </c>
      <c r="C97" s="164"/>
      <c r="D97" s="164"/>
      <c r="E97" s="164"/>
      <c r="F97" s="164"/>
      <c r="G97" s="164"/>
      <c r="H97" s="164"/>
      <c r="I97" s="164"/>
      <c r="J97" s="321"/>
      <c r="K97" s="331"/>
      <c r="L97" s="267"/>
      <c r="M97" s="267"/>
      <c r="N97" s="267"/>
    </row>
    <row r="98" spans="1:234" ht="15" customHeight="1">
      <c r="A98" s="218" t="s">
        <v>175</v>
      </c>
      <c r="B98" s="319"/>
      <c r="C98" s="323"/>
      <c r="D98" s="323"/>
      <c r="E98" s="323"/>
      <c r="F98" s="323"/>
      <c r="G98" s="323"/>
      <c r="H98" s="323"/>
      <c r="I98" s="323"/>
      <c r="J98" s="332"/>
      <c r="K98" s="328" t="e">
        <f>SUM(K93:K97)</f>
        <v>#REF!</v>
      </c>
      <c r="L98" s="328" t="e">
        <f>SUM(L93:L97)</f>
        <v>#REF!</v>
      </c>
      <c r="M98" s="328" t="e">
        <f>SUM(M93:M97)</f>
        <v>#REF!</v>
      </c>
      <c r="N98" s="328" t="e">
        <f>SUM(N93:N97)</f>
        <v>#REF!</v>
      </c>
      <c r="O98" s="150"/>
      <c r="P98" s="150"/>
      <c r="Q98" s="150"/>
      <c r="R98" s="150"/>
      <c r="S98" s="150"/>
      <c r="T98" s="150"/>
      <c r="U98" s="150"/>
      <c r="V98" s="150"/>
      <c r="W98" s="150"/>
      <c r="X98" s="150"/>
      <c r="Y98" s="150"/>
      <c r="Z98" s="150"/>
      <c r="AA98" s="150"/>
      <c r="AB98" s="150"/>
      <c r="AC98" s="150"/>
      <c r="AD98" s="150"/>
      <c r="AE98" s="150"/>
      <c r="AF98" s="150"/>
      <c r="AG98" s="150"/>
      <c r="AH98" s="150"/>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c r="BI98" s="150"/>
      <c r="BJ98" s="150"/>
      <c r="BK98" s="150"/>
      <c r="BL98" s="150"/>
      <c r="BM98" s="150"/>
      <c r="BN98" s="150"/>
      <c r="BO98" s="150"/>
      <c r="BP98" s="150"/>
      <c r="BQ98" s="150"/>
      <c r="BR98" s="150"/>
      <c r="BS98" s="150"/>
      <c r="BT98" s="150"/>
      <c r="BU98" s="150"/>
      <c r="BV98" s="150"/>
      <c r="BW98" s="150"/>
      <c r="BX98" s="150"/>
      <c r="BY98" s="150"/>
      <c r="BZ98" s="150"/>
      <c r="CA98" s="150"/>
      <c r="CB98" s="150"/>
      <c r="CC98" s="150"/>
      <c r="CD98" s="150"/>
      <c r="CE98" s="150"/>
      <c r="CF98" s="150"/>
      <c r="CG98" s="151"/>
      <c r="CH98" s="151"/>
      <c r="CI98" s="151"/>
      <c r="CJ98" s="151"/>
      <c r="CK98" s="151"/>
      <c r="CL98" s="151"/>
      <c r="CM98" s="151"/>
      <c r="CN98" s="151"/>
      <c r="CO98" s="151"/>
      <c r="CP98" s="151"/>
      <c r="CQ98" s="151"/>
      <c r="CR98" s="151"/>
      <c r="CS98" s="151"/>
      <c r="CT98" s="151"/>
      <c r="CU98" s="151"/>
      <c r="CV98" s="151"/>
      <c r="CW98" s="151"/>
      <c r="CX98" s="151"/>
      <c r="CY98" s="151"/>
      <c r="CZ98" s="151"/>
      <c r="DA98" s="151"/>
      <c r="DB98" s="151"/>
      <c r="DC98" s="151"/>
      <c r="DD98" s="151"/>
      <c r="DE98" s="151"/>
      <c r="DF98" s="151"/>
      <c r="DG98" s="151"/>
      <c r="DH98" s="151"/>
      <c r="DI98" s="151"/>
      <c r="DJ98" s="151"/>
      <c r="DK98" s="151"/>
      <c r="DL98" s="151"/>
      <c r="DM98" s="151"/>
      <c r="DN98" s="151"/>
      <c r="DO98" s="151"/>
      <c r="DP98" s="151"/>
      <c r="DQ98" s="151"/>
      <c r="DR98" s="151"/>
      <c r="DS98" s="151"/>
      <c r="DT98" s="151"/>
      <c r="DU98" s="151"/>
      <c r="DV98" s="151"/>
      <c r="DW98" s="151"/>
      <c r="DX98" s="151"/>
      <c r="DY98" s="151"/>
      <c r="DZ98" s="151"/>
      <c r="EA98" s="151"/>
      <c r="EB98" s="151"/>
      <c r="EC98" s="151"/>
      <c r="ED98" s="151"/>
      <c r="EE98" s="151"/>
      <c r="EF98" s="151"/>
      <c r="EG98" s="151"/>
      <c r="EH98" s="151"/>
      <c r="EI98" s="151"/>
      <c r="EJ98" s="151"/>
      <c r="EK98" s="151"/>
      <c r="EL98" s="151"/>
      <c r="EM98" s="151"/>
      <c r="EN98" s="151"/>
      <c r="EO98" s="151"/>
      <c r="EP98" s="151"/>
      <c r="EQ98" s="151"/>
      <c r="ER98" s="151"/>
      <c r="ES98" s="151"/>
      <c r="ET98" s="151"/>
      <c r="EU98" s="151"/>
      <c r="EV98" s="151"/>
      <c r="EW98" s="151"/>
      <c r="EX98" s="151"/>
      <c r="EY98" s="151"/>
      <c r="EZ98" s="151"/>
      <c r="FA98" s="151"/>
      <c r="FB98" s="151"/>
      <c r="FC98" s="151"/>
      <c r="FD98" s="151"/>
      <c r="FE98" s="151"/>
      <c r="FF98" s="151"/>
      <c r="FG98" s="151"/>
      <c r="FH98" s="151"/>
      <c r="FI98" s="151"/>
      <c r="FJ98" s="151"/>
      <c r="FK98" s="151"/>
      <c r="FL98" s="151"/>
      <c r="FM98" s="151"/>
      <c r="FN98" s="151"/>
      <c r="FO98" s="151"/>
      <c r="FP98" s="151"/>
      <c r="FQ98" s="151"/>
      <c r="FR98" s="151"/>
      <c r="FS98" s="151"/>
      <c r="FT98" s="151"/>
      <c r="FU98" s="151"/>
      <c r="FV98" s="151"/>
      <c r="FW98" s="151"/>
      <c r="FX98" s="151"/>
      <c r="FY98" s="151"/>
      <c r="FZ98" s="151"/>
      <c r="GA98" s="151"/>
      <c r="GB98" s="151"/>
      <c r="GC98" s="151"/>
      <c r="GD98" s="151"/>
      <c r="GE98" s="151"/>
      <c r="GF98" s="151"/>
      <c r="GG98" s="151"/>
      <c r="GH98" s="151"/>
      <c r="GI98" s="151"/>
      <c r="GJ98" s="151"/>
      <c r="GK98" s="151"/>
      <c r="GL98" s="151"/>
      <c r="GM98" s="151"/>
      <c r="GN98" s="151"/>
      <c r="GO98" s="151"/>
      <c r="GP98" s="151"/>
      <c r="GQ98" s="151"/>
      <c r="GR98" s="151"/>
      <c r="GS98" s="151"/>
      <c r="GT98" s="151"/>
      <c r="GU98" s="151"/>
      <c r="GV98" s="151"/>
      <c r="GW98" s="151"/>
      <c r="GX98" s="151"/>
      <c r="GY98" s="151"/>
      <c r="GZ98" s="151"/>
      <c r="HA98" s="151"/>
      <c r="HB98" s="151"/>
      <c r="HC98" s="151"/>
      <c r="HD98" s="151"/>
      <c r="HE98" s="151"/>
      <c r="HF98" s="151"/>
      <c r="HG98" s="151"/>
      <c r="HH98" s="151"/>
      <c r="HI98" s="151"/>
      <c r="HJ98" s="151"/>
      <c r="HK98" s="151"/>
      <c r="HL98" s="151"/>
      <c r="HM98" s="151"/>
      <c r="HN98" s="151"/>
      <c r="HO98" s="151"/>
      <c r="HP98" s="151"/>
      <c r="HQ98" s="151"/>
      <c r="HR98" s="151"/>
      <c r="HS98" s="151"/>
      <c r="HT98" s="151"/>
      <c r="HU98" s="151"/>
      <c r="HV98" s="151"/>
      <c r="HW98" s="151"/>
      <c r="HX98" s="151"/>
      <c r="HY98" s="151"/>
      <c r="HZ98" s="151"/>
    </row>
    <row r="99" spans="1:234">
      <c r="A99" s="217" t="s">
        <v>880</v>
      </c>
      <c r="B99" s="144"/>
      <c r="C99" s="144"/>
      <c r="D99" s="144"/>
      <c r="E99" s="144"/>
      <c r="F99" s="144"/>
      <c r="G99" s="145"/>
      <c r="H99" s="145"/>
      <c r="I99" s="145"/>
      <c r="J99" s="146"/>
      <c r="K99" s="172" t="s">
        <v>830</v>
      </c>
      <c r="L99" s="172" t="s">
        <v>830</v>
      </c>
      <c r="M99" s="172" t="s">
        <v>830</v>
      </c>
      <c r="N99" s="172" t="s">
        <v>830</v>
      </c>
    </row>
    <row r="100" spans="1:234" ht="15" customHeight="1">
      <c r="A100" s="215" t="s">
        <v>829</v>
      </c>
      <c r="B100" s="128"/>
      <c r="C100" s="128"/>
      <c r="D100" s="128"/>
      <c r="E100" s="128"/>
      <c r="F100" s="128"/>
      <c r="G100" s="128"/>
      <c r="H100" s="128"/>
      <c r="I100" s="128"/>
      <c r="J100" s="159"/>
      <c r="K100" s="183" t="e">
        <f>K17</f>
        <v>#REF!</v>
      </c>
      <c r="L100" s="183" t="e">
        <f>L17</f>
        <v>#REF!</v>
      </c>
      <c r="M100" s="183" t="e">
        <f>M17</f>
        <v>#REF!</v>
      </c>
      <c r="N100" s="183" t="e">
        <f>N17</f>
        <v>#REF!</v>
      </c>
      <c r="O100" s="150"/>
      <c r="P100" s="150"/>
      <c r="Q100" s="150"/>
      <c r="R100" s="150"/>
      <c r="S100" s="150"/>
      <c r="T100" s="150"/>
      <c r="U100" s="150"/>
      <c r="V100" s="150"/>
      <c r="W100" s="150"/>
      <c r="X100" s="150"/>
      <c r="Y100" s="150"/>
      <c r="Z100" s="150"/>
      <c r="AA100" s="150"/>
      <c r="AB100" s="150"/>
      <c r="AC100" s="150"/>
      <c r="AD100" s="150"/>
      <c r="AE100" s="150"/>
      <c r="AF100" s="150"/>
      <c r="AG100" s="150"/>
      <c r="AH100" s="150"/>
      <c r="AI100" s="150"/>
      <c r="AJ100" s="150"/>
      <c r="AK100" s="150"/>
      <c r="AL100" s="150"/>
      <c r="AM100" s="150"/>
      <c r="AN100" s="150"/>
      <c r="AO100" s="150"/>
      <c r="AP100" s="150"/>
      <c r="AQ100" s="150"/>
      <c r="AR100" s="150"/>
      <c r="AS100" s="150"/>
      <c r="AT100" s="150"/>
      <c r="AU100" s="150"/>
      <c r="AV100" s="150"/>
      <c r="AW100" s="150"/>
      <c r="AX100" s="150"/>
      <c r="AY100" s="150"/>
      <c r="AZ100" s="150"/>
      <c r="BA100" s="150"/>
      <c r="BB100" s="150"/>
      <c r="BC100" s="150"/>
      <c r="BD100" s="150"/>
      <c r="BE100" s="150"/>
      <c r="BF100" s="150"/>
      <c r="BG100" s="150"/>
      <c r="BH100" s="150"/>
      <c r="BI100" s="150"/>
      <c r="BJ100" s="150"/>
      <c r="BK100" s="150"/>
      <c r="BL100" s="150"/>
      <c r="BM100" s="150"/>
      <c r="BN100" s="150"/>
      <c r="BO100" s="150"/>
      <c r="BP100" s="150"/>
      <c r="BQ100" s="150"/>
      <c r="BR100" s="150"/>
      <c r="BS100" s="150"/>
      <c r="BT100" s="150"/>
      <c r="BU100" s="150"/>
      <c r="BV100" s="150"/>
      <c r="BW100" s="150"/>
      <c r="BX100" s="150"/>
      <c r="BY100" s="150"/>
      <c r="BZ100" s="150"/>
      <c r="CA100" s="150"/>
      <c r="CB100" s="150"/>
      <c r="CC100" s="150"/>
      <c r="CD100" s="150"/>
      <c r="CE100" s="150"/>
      <c r="CF100" s="150"/>
      <c r="CG100" s="151"/>
      <c r="CH100" s="151"/>
      <c r="CI100" s="151"/>
      <c r="CJ100" s="151"/>
      <c r="CK100" s="151"/>
      <c r="CL100" s="151"/>
      <c r="CM100" s="151"/>
      <c r="CN100" s="151"/>
      <c r="CO100" s="151"/>
      <c r="CP100" s="151"/>
      <c r="CQ100" s="151"/>
      <c r="CR100" s="151"/>
      <c r="CS100" s="151"/>
      <c r="CT100" s="151"/>
      <c r="CU100" s="151"/>
      <c r="CV100" s="151"/>
      <c r="CW100" s="151"/>
      <c r="CX100" s="151"/>
      <c r="CY100" s="151"/>
      <c r="CZ100" s="151"/>
      <c r="DA100" s="151"/>
      <c r="DB100" s="151"/>
      <c r="DC100" s="151"/>
      <c r="DD100" s="151"/>
      <c r="DE100" s="151"/>
      <c r="DF100" s="151"/>
      <c r="DG100" s="151"/>
      <c r="DH100" s="151"/>
      <c r="DI100" s="151"/>
      <c r="DJ100" s="151"/>
      <c r="DK100" s="151"/>
      <c r="DL100" s="151"/>
      <c r="DM100" s="151"/>
      <c r="DN100" s="151"/>
      <c r="DO100" s="151"/>
      <c r="DP100" s="151"/>
      <c r="DQ100" s="151"/>
      <c r="DR100" s="151"/>
      <c r="DS100" s="151"/>
      <c r="DT100" s="151"/>
      <c r="DU100" s="151"/>
      <c r="DV100" s="151"/>
      <c r="DW100" s="151"/>
      <c r="DX100" s="151"/>
      <c r="DY100" s="151"/>
      <c r="DZ100" s="151"/>
      <c r="EA100" s="151"/>
      <c r="EB100" s="151"/>
      <c r="EC100" s="151"/>
      <c r="ED100" s="151"/>
      <c r="EE100" s="151"/>
      <c r="EF100" s="151"/>
      <c r="EG100" s="151"/>
      <c r="EH100" s="151"/>
      <c r="EI100" s="151"/>
      <c r="EJ100" s="151"/>
      <c r="EK100" s="151"/>
      <c r="EL100" s="151"/>
      <c r="EM100" s="151"/>
      <c r="EN100" s="151"/>
      <c r="EO100" s="151"/>
      <c r="EP100" s="151"/>
      <c r="EQ100" s="151"/>
      <c r="ER100" s="151"/>
      <c r="ES100" s="151"/>
      <c r="ET100" s="151"/>
      <c r="EU100" s="151"/>
      <c r="EV100" s="151"/>
      <c r="EW100" s="151"/>
      <c r="EX100" s="151"/>
      <c r="EY100" s="151"/>
      <c r="EZ100" s="151"/>
      <c r="FA100" s="151"/>
      <c r="FB100" s="151"/>
      <c r="FC100" s="151"/>
      <c r="FD100" s="151"/>
      <c r="FE100" s="151"/>
      <c r="FF100" s="151"/>
      <c r="FG100" s="151"/>
      <c r="FH100" s="151"/>
      <c r="FI100" s="151"/>
      <c r="FJ100" s="151"/>
      <c r="FK100" s="151"/>
      <c r="FL100" s="151"/>
      <c r="FM100" s="151"/>
      <c r="FN100" s="151"/>
      <c r="FO100" s="151"/>
      <c r="FP100" s="151"/>
      <c r="FQ100" s="151"/>
      <c r="FR100" s="151"/>
      <c r="FS100" s="151"/>
      <c r="FT100" s="151"/>
      <c r="FU100" s="151"/>
      <c r="FV100" s="151"/>
      <c r="FW100" s="151"/>
      <c r="FX100" s="151"/>
      <c r="FY100" s="151"/>
      <c r="FZ100" s="151"/>
      <c r="GA100" s="151"/>
      <c r="GB100" s="151"/>
      <c r="GC100" s="151"/>
      <c r="GD100" s="151"/>
      <c r="GE100" s="151"/>
      <c r="GF100" s="151"/>
      <c r="GG100" s="151"/>
      <c r="GH100" s="151"/>
      <c r="GI100" s="151"/>
      <c r="GJ100" s="151"/>
      <c r="GK100" s="151"/>
      <c r="GL100" s="151"/>
      <c r="GM100" s="151"/>
      <c r="GN100" s="151"/>
      <c r="GO100" s="151"/>
      <c r="GP100" s="151"/>
      <c r="GQ100" s="151"/>
      <c r="GR100" s="151"/>
      <c r="GS100" s="151"/>
      <c r="GT100" s="151"/>
      <c r="GU100" s="151"/>
      <c r="GV100" s="151"/>
      <c r="GW100" s="151"/>
      <c r="GX100" s="151"/>
      <c r="GY100" s="151"/>
      <c r="GZ100" s="151"/>
      <c r="HA100" s="151"/>
      <c r="HB100" s="151"/>
      <c r="HC100" s="151"/>
      <c r="HD100" s="151"/>
      <c r="HE100" s="151"/>
      <c r="HF100" s="151"/>
      <c r="HG100" s="151"/>
      <c r="HH100" s="151"/>
      <c r="HI100" s="151"/>
      <c r="HJ100" s="151"/>
      <c r="HK100" s="151"/>
      <c r="HL100" s="151"/>
      <c r="HM100" s="151"/>
      <c r="HN100" s="151"/>
      <c r="HO100" s="151"/>
      <c r="HP100" s="151"/>
      <c r="HQ100" s="151"/>
      <c r="HR100" s="151"/>
      <c r="HS100" s="151"/>
      <c r="HT100" s="151"/>
      <c r="HU100" s="151"/>
      <c r="HV100" s="151"/>
      <c r="HW100" s="151"/>
      <c r="HX100" s="151"/>
      <c r="HY100" s="151"/>
      <c r="HZ100" s="151"/>
    </row>
    <row r="101" spans="1:234" ht="15" customHeight="1">
      <c r="A101" s="216" t="s">
        <v>836</v>
      </c>
      <c r="B101" s="128"/>
      <c r="C101" s="128"/>
      <c r="D101" s="128"/>
      <c r="E101" s="128"/>
      <c r="F101" s="128"/>
      <c r="G101" s="128"/>
      <c r="H101" s="128"/>
      <c r="I101" s="128"/>
      <c r="J101" s="159"/>
      <c r="K101" s="183" t="e">
        <f>K54</f>
        <v>#REF!</v>
      </c>
      <c r="L101" s="183" t="e">
        <f>L54</f>
        <v>#REF!</v>
      </c>
      <c r="M101" s="183" t="e">
        <f>M54</f>
        <v>#REF!</v>
      </c>
      <c r="N101" s="183" t="e">
        <f>N54</f>
        <v>#REF!</v>
      </c>
      <c r="O101" s="150"/>
      <c r="P101" s="150"/>
      <c r="Q101" s="150"/>
      <c r="R101" s="150"/>
      <c r="S101" s="150"/>
      <c r="T101" s="150"/>
      <c r="U101" s="150"/>
      <c r="V101" s="150"/>
      <c r="W101" s="150"/>
      <c r="X101" s="150"/>
      <c r="Y101" s="150"/>
      <c r="Z101" s="150"/>
      <c r="AA101" s="150"/>
      <c r="AB101" s="150"/>
      <c r="AC101" s="150"/>
      <c r="AD101" s="150"/>
      <c r="AE101" s="150"/>
      <c r="AF101" s="150"/>
      <c r="AG101" s="150"/>
      <c r="AH101" s="150"/>
      <c r="AI101" s="150"/>
      <c r="AJ101" s="150"/>
      <c r="AK101" s="150"/>
      <c r="AL101" s="150"/>
      <c r="AM101" s="150"/>
      <c r="AN101" s="150"/>
      <c r="AO101" s="150"/>
      <c r="AP101" s="150"/>
      <c r="AQ101" s="150"/>
      <c r="AR101" s="150"/>
      <c r="AS101" s="150"/>
      <c r="AT101" s="150"/>
      <c r="AU101" s="150"/>
      <c r="AV101" s="150"/>
      <c r="AW101" s="150"/>
      <c r="AX101" s="150"/>
      <c r="AY101" s="150"/>
      <c r="AZ101" s="150"/>
      <c r="BA101" s="150"/>
      <c r="BB101" s="150"/>
      <c r="BC101" s="150"/>
      <c r="BD101" s="150"/>
      <c r="BE101" s="150"/>
      <c r="BF101" s="150"/>
      <c r="BG101" s="150"/>
      <c r="BH101" s="150"/>
      <c r="BI101" s="150"/>
      <c r="BJ101" s="150"/>
      <c r="BK101" s="150"/>
      <c r="BL101" s="150"/>
      <c r="BM101" s="150"/>
      <c r="BN101" s="150"/>
      <c r="BO101" s="150"/>
      <c r="BP101" s="150"/>
      <c r="BQ101" s="150"/>
      <c r="BR101" s="150"/>
      <c r="BS101" s="150"/>
      <c r="BT101" s="150"/>
      <c r="BU101" s="150"/>
      <c r="BV101" s="150"/>
      <c r="BW101" s="150"/>
      <c r="BX101" s="150"/>
      <c r="BY101" s="150"/>
      <c r="BZ101" s="150"/>
      <c r="CA101" s="150"/>
      <c r="CB101" s="150"/>
      <c r="CC101" s="150"/>
      <c r="CD101" s="150"/>
      <c r="CE101" s="150"/>
      <c r="CF101" s="150"/>
      <c r="CG101" s="151"/>
      <c r="CH101" s="151"/>
      <c r="CI101" s="151"/>
      <c r="CJ101" s="151"/>
      <c r="CK101" s="151"/>
      <c r="CL101" s="151"/>
      <c r="CM101" s="151"/>
      <c r="CN101" s="151"/>
      <c r="CO101" s="151"/>
      <c r="CP101" s="151"/>
      <c r="CQ101" s="151"/>
      <c r="CR101" s="151"/>
      <c r="CS101" s="151"/>
      <c r="CT101" s="151"/>
      <c r="CU101" s="151"/>
      <c r="CV101" s="151"/>
      <c r="CW101" s="151"/>
      <c r="CX101" s="151"/>
      <c r="CY101" s="151"/>
      <c r="CZ101" s="151"/>
      <c r="DA101" s="151"/>
      <c r="DB101" s="151"/>
      <c r="DC101" s="151"/>
      <c r="DD101" s="151"/>
      <c r="DE101" s="151"/>
      <c r="DF101" s="151"/>
      <c r="DG101" s="151"/>
      <c r="DH101" s="151"/>
      <c r="DI101" s="151"/>
      <c r="DJ101" s="151"/>
      <c r="DK101" s="151"/>
      <c r="DL101" s="151"/>
      <c r="DM101" s="151"/>
      <c r="DN101" s="151"/>
      <c r="DO101" s="151"/>
      <c r="DP101" s="151"/>
      <c r="DQ101" s="151"/>
      <c r="DR101" s="151"/>
      <c r="DS101" s="151"/>
      <c r="DT101" s="151"/>
      <c r="DU101" s="151"/>
      <c r="DV101" s="151"/>
      <c r="DW101" s="151"/>
      <c r="DX101" s="151"/>
      <c r="DY101" s="151"/>
      <c r="DZ101" s="151"/>
      <c r="EA101" s="151"/>
      <c r="EB101" s="151"/>
      <c r="EC101" s="151"/>
      <c r="ED101" s="151"/>
      <c r="EE101" s="151"/>
      <c r="EF101" s="151"/>
      <c r="EG101" s="151"/>
      <c r="EH101" s="151"/>
      <c r="EI101" s="151"/>
      <c r="EJ101" s="151"/>
      <c r="EK101" s="151"/>
      <c r="EL101" s="151"/>
      <c r="EM101" s="151"/>
      <c r="EN101" s="151"/>
      <c r="EO101" s="151"/>
      <c r="EP101" s="151"/>
      <c r="EQ101" s="151"/>
      <c r="ER101" s="151"/>
      <c r="ES101" s="151"/>
      <c r="ET101" s="151"/>
      <c r="EU101" s="151"/>
      <c r="EV101" s="151"/>
      <c r="EW101" s="151"/>
      <c r="EX101" s="151"/>
      <c r="EY101" s="151"/>
      <c r="EZ101" s="151"/>
      <c r="FA101" s="151"/>
      <c r="FB101" s="151"/>
      <c r="FC101" s="151"/>
      <c r="FD101" s="151"/>
      <c r="FE101" s="151"/>
      <c r="FF101" s="151"/>
      <c r="FG101" s="151"/>
      <c r="FH101" s="151"/>
      <c r="FI101" s="151"/>
      <c r="FJ101" s="151"/>
      <c r="FK101" s="151"/>
      <c r="FL101" s="151"/>
      <c r="FM101" s="151"/>
      <c r="FN101" s="151"/>
      <c r="FO101" s="151"/>
      <c r="FP101" s="151"/>
      <c r="FQ101" s="151"/>
      <c r="FR101" s="151"/>
      <c r="FS101" s="151"/>
      <c r="FT101" s="151"/>
      <c r="FU101" s="151"/>
      <c r="FV101" s="151"/>
      <c r="FW101" s="151"/>
      <c r="FX101" s="151"/>
      <c r="FY101" s="151"/>
      <c r="FZ101" s="151"/>
      <c r="GA101" s="151"/>
      <c r="GB101" s="151"/>
      <c r="GC101" s="151"/>
      <c r="GD101" s="151"/>
      <c r="GE101" s="151"/>
      <c r="GF101" s="151"/>
      <c r="GG101" s="151"/>
      <c r="GH101" s="151"/>
      <c r="GI101" s="151"/>
      <c r="GJ101" s="151"/>
      <c r="GK101" s="151"/>
      <c r="GL101" s="151"/>
      <c r="GM101" s="151"/>
      <c r="GN101" s="151"/>
      <c r="GO101" s="151"/>
      <c r="GP101" s="151"/>
      <c r="GQ101" s="151"/>
      <c r="GR101" s="151"/>
      <c r="GS101" s="151"/>
      <c r="GT101" s="151"/>
      <c r="GU101" s="151"/>
      <c r="GV101" s="151"/>
      <c r="GW101" s="151"/>
      <c r="GX101" s="151"/>
      <c r="GY101" s="151"/>
      <c r="GZ101" s="151"/>
      <c r="HA101" s="151"/>
      <c r="HB101" s="151"/>
      <c r="HC101" s="151"/>
      <c r="HD101" s="151"/>
      <c r="HE101" s="151"/>
      <c r="HF101" s="151"/>
      <c r="HG101" s="151"/>
      <c r="HH101" s="151"/>
      <c r="HI101" s="151"/>
      <c r="HJ101" s="151"/>
      <c r="HK101" s="151"/>
      <c r="HL101" s="151"/>
      <c r="HM101" s="151"/>
      <c r="HN101" s="151"/>
      <c r="HO101" s="151"/>
      <c r="HP101" s="151"/>
      <c r="HQ101" s="151"/>
      <c r="HR101" s="151"/>
      <c r="HS101" s="151"/>
      <c r="HT101" s="151"/>
      <c r="HU101" s="151"/>
      <c r="HV101" s="151"/>
      <c r="HW101" s="151"/>
      <c r="HX101" s="151"/>
      <c r="HY101" s="151"/>
      <c r="HZ101" s="151"/>
    </row>
    <row r="102" spans="1:234" ht="15" customHeight="1">
      <c r="A102" s="216" t="s">
        <v>881</v>
      </c>
      <c r="B102" s="128"/>
      <c r="C102" s="128"/>
      <c r="D102" s="128"/>
      <c r="E102" s="128"/>
      <c r="F102" s="128"/>
      <c r="G102" s="128"/>
      <c r="H102" s="128"/>
      <c r="I102" s="128"/>
      <c r="J102" s="159"/>
      <c r="K102" s="183" t="e">
        <f>K61</f>
        <v>#REF!</v>
      </c>
      <c r="L102" s="183" t="e">
        <f>L61</f>
        <v>#REF!</v>
      </c>
      <c r="M102" s="183" t="e">
        <f>M61</f>
        <v>#REF!</v>
      </c>
      <c r="N102" s="183" t="e">
        <f>N61</f>
        <v>#REF!</v>
      </c>
      <c r="O102" s="150"/>
      <c r="P102" s="150"/>
      <c r="Q102" s="150"/>
      <c r="R102" s="150"/>
      <c r="S102" s="150"/>
      <c r="T102" s="150"/>
      <c r="U102" s="150"/>
      <c r="V102" s="150"/>
      <c r="W102" s="150"/>
      <c r="X102" s="150"/>
      <c r="Y102" s="150"/>
      <c r="Z102" s="150"/>
      <c r="AA102" s="150"/>
      <c r="AB102" s="150"/>
      <c r="AC102" s="150"/>
      <c r="AD102" s="150"/>
      <c r="AE102" s="150"/>
      <c r="AF102" s="150"/>
      <c r="AG102" s="150"/>
      <c r="AH102" s="150"/>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c r="BI102" s="150"/>
      <c r="BJ102" s="150"/>
      <c r="BK102" s="150"/>
      <c r="BL102" s="150"/>
      <c r="BM102" s="150"/>
      <c r="BN102" s="150"/>
      <c r="BO102" s="150"/>
      <c r="BP102" s="150"/>
      <c r="BQ102" s="150"/>
      <c r="BR102" s="150"/>
      <c r="BS102" s="150"/>
      <c r="BT102" s="150"/>
      <c r="BU102" s="150"/>
      <c r="BV102" s="150"/>
      <c r="BW102" s="150"/>
      <c r="BX102" s="150"/>
      <c r="BY102" s="150"/>
      <c r="BZ102" s="150"/>
      <c r="CA102" s="150"/>
      <c r="CB102" s="150"/>
      <c r="CC102" s="150"/>
      <c r="CD102" s="150"/>
      <c r="CE102" s="150"/>
      <c r="CF102" s="150"/>
      <c r="CG102" s="151"/>
      <c r="CH102" s="151"/>
      <c r="CI102" s="151"/>
      <c r="CJ102" s="151"/>
      <c r="CK102" s="151"/>
      <c r="CL102" s="151"/>
      <c r="CM102" s="151"/>
      <c r="CN102" s="151"/>
      <c r="CO102" s="151"/>
      <c r="CP102" s="151"/>
      <c r="CQ102" s="151"/>
      <c r="CR102" s="151"/>
      <c r="CS102" s="151"/>
      <c r="CT102" s="151"/>
      <c r="CU102" s="151"/>
      <c r="CV102" s="151"/>
      <c r="CW102" s="151"/>
      <c r="CX102" s="151"/>
      <c r="CY102" s="151"/>
      <c r="CZ102" s="151"/>
      <c r="DA102" s="151"/>
      <c r="DB102" s="151"/>
      <c r="DC102" s="151"/>
      <c r="DD102" s="151"/>
      <c r="DE102" s="151"/>
      <c r="DF102" s="151"/>
      <c r="DG102" s="151"/>
      <c r="DH102" s="151"/>
      <c r="DI102" s="151"/>
      <c r="DJ102" s="151"/>
      <c r="DK102" s="151"/>
      <c r="DL102" s="151"/>
      <c r="DM102" s="151"/>
      <c r="DN102" s="151"/>
      <c r="DO102" s="151"/>
      <c r="DP102" s="151"/>
      <c r="DQ102" s="151"/>
      <c r="DR102" s="151"/>
      <c r="DS102" s="151"/>
      <c r="DT102" s="151"/>
      <c r="DU102" s="151"/>
      <c r="DV102" s="151"/>
      <c r="DW102" s="151"/>
      <c r="DX102" s="151"/>
      <c r="DY102" s="151"/>
      <c r="DZ102" s="151"/>
      <c r="EA102" s="151"/>
      <c r="EB102" s="151"/>
      <c r="EC102" s="151"/>
      <c r="ED102" s="151"/>
      <c r="EE102" s="151"/>
      <c r="EF102" s="151"/>
      <c r="EG102" s="151"/>
      <c r="EH102" s="151"/>
      <c r="EI102" s="151"/>
      <c r="EJ102" s="151"/>
      <c r="EK102" s="151"/>
      <c r="EL102" s="151"/>
      <c r="EM102" s="151"/>
      <c r="EN102" s="151"/>
      <c r="EO102" s="151"/>
      <c r="EP102" s="151"/>
      <c r="EQ102" s="151"/>
      <c r="ER102" s="151"/>
      <c r="ES102" s="151"/>
      <c r="ET102" s="151"/>
      <c r="EU102" s="151"/>
      <c r="EV102" s="151"/>
      <c r="EW102" s="151"/>
      <c r="EX102" s="151"/>
      <c r="EY102" s="151"/>
      <c r="EZ102" s="151"/>
      <c r="FA102" s="151"/>
      <c r="FB102" s="151"/>
      <c r="FC102" s="151"/>
      <c r="FD102" s="151"/>
      <c r="FE102" s="151"/>
      <c r="FF102" s="151"/>
      <c r="FG102" s="151"/>
      <c r="FH102" s="151"/>
      <c r="FI102" s="151"/>
      <c r="FJ102" s="151"/>
      <c r="FK102" s="151"/>
      <c r="FL102" s="151"/>
      <c r="FM102" s="151"/>
      <c r="FN102" s="151"/>
      <c r="FO102" s="151"/>
      <c r="FP102" s="151"/>
      <c r="FQ102" s="151"/>
      <c r="FR102" s="151"/>
      <c r="FS102" s="151"/>
      <c r="FT102" s="151"/>
      <c r="FU102" s="151"/>
      <c r="FV102" s="151"/>
      <c r="FW102" s="151"/>
      <c r="FX102" s="151"/>
      <c r="FY102" s="151"/>
      <c r="FZ102" s="151"/>
      <c r="GA102" s="151"/>
      <c r="GB102" s="151"/>
      <c r="GC102" s="151"/>
      <c r="GD102" s="151"/>
      <c r="GE102" s="151"/>
      <c r="GF102" s="151"/>
      <c r="GG102" s="151"/>
      <c r="GH102" s="151"/>
      <c r="GI102" s="151"/>
      <c r="GJ102" s="151"/>
      <c r="GK102" s="151"/>
      <c r="GL102" s="151"/>
      <c r="GM102" s="151"/>
      <c r="GN102" s="151"/>
      <c r="GO102" s="151"/>
      <c r="GP102" s="151"/>
      <c r="GQ102" s="151"/>
      <c r="GR102" s="151"/>
      <c r="GS102" s="151"/>
      <c r="GT102" s="151"/>
      <c r="GU102" s="151"/>
      <c r="GV102" s="151"/>
      <c r="GW102" s="151"/>
      <c r="GX102" s="151"/>
      <c r="GY102" s="151"/>
      <c r="GZ102" s="151"/>
      <c r="HA102" s="151"/>
      <c r="HB102" s="151"/>
      <c r="HC102" s="151"/>
      <c r="HD102" s="151"/>
      <c r="HE102" s="151"/>
      <c r="HF102" s="151"/>
      <c r="HG102" s="151"/>
      <c r="HH102" s="151"/>
      <c r="HI102" s="151"/>
      <c r="HJ102" s="151"/>
      <c r="HK102" s="151"/>
      <c r="HL102" s="151"/>
      <c r="HM102" s="151"/>
      <c r="HN102" s="151"/>
      <c r="HO102" s="151"/>
      <c r="HP102" s="151"/>
      <c r="HQ102" s="151"/>
      <c r="HR102" s="151"/>
      <c r="HS102" s="151"/>
      <c r="HT102" s="151"/>
      <c r="HU102" s="151"/>
      <c r="HV102" s="151"/>
      <c r="HW102" s="151"/>
      <c r="HX102" s="151"/>
      <c r="HY102" s="151"/>
      <c r="HZ102" s="151"/>
    </row>
    <row r="103" spans="1:234" ht="15" customHeight="1">
      <c r="A103" s="216" t="s">
        <v>882</v>
      </c>
      <c r="B103" s="128"/>
      <c r="C103" s="128"/>
      <c r="D103" s="128"/>
      <c r="E103" s="128"/>
      <c r="F103" s="128"/>
      <c r="G103" s="128"/>
      <c r="H103" s="128"/>
      <c r="I103" s="128"/>
      <c r="J103" s="159"/>
      <c r="K103" s="183" t="e">
        <f>K90</f>
        <v>#REF!</v>
      </c>
      <c r="L103" s="183" t="e">
        <f>L90</f>
        <v>#REF!</v>
      </c>
      <c r="M103" s="183" t="e">
        <f>M90</f>
        <v>#REF!</v>
      </c>
      <c r="N103" s="183" t="e">
        <f>N90</f>
        <v>#REF!</v>
      </c>
      <c r="O103" s="150"/>
      <c r="P103" s="150"/>
      <c r="Q103" s="150"/>
      <c r="R103" s="150"/>
      <c r="S103" s="150"/>
      <c r="T103" s="150"/>
      <c r="U103" s="150"/>
      <c r="V103" s="150"/>
      <c r="W103" s="150"/>
      <c r="X103" s="150"/>
      <c r="Y103" s="150"/>
      <c r="Z103" s="150"/>
      <c r="AA103" s="150"/>
      <c r="AB103" s="150"/>
      <c r="AC103" s="150"/>
      <c r="AD103" s="150"/>
      <c r="AE103" s="150"/>
      <c r="AF103" s="150"/>
      <c r="AG103" s="150"/>
      <c r="AH103" s="150"/>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c r="BI103" s="150"/>
      <c r="BJ103" s="150"/>
      <c r="BK103" s="150"/>
      <c r="BL103" s="150"/>
      <c r="BM103" s="150"/>
      <c r="BN103" s="150"/>
      <c r="BO103" s="150"/>
      <c r="BP103" s="150"/>
      <c r="BQ103" s="150"/>
      <c r="BR103" s="150"/>
      <c r="BS103" s="150"/>
      <c r="BT103" s="150"/>
      <c r="BU103" s="150"/>
      <c r="BV103" s="150"/>
      <c r="BW103" s="150"/>
      <c r="BX103" s="150"/>
      <c r="BY103" s="150"/>
      <c r="BZ103" s="150"/>
      <c r="CA103" s="150"/>
      <c r="CB103" s="150"/>
      <c r="CC103" s="150"/>
      <c r="CD103" s="150"/>
      <c r="CE103" s="150"/>
      <c r="CF103" s="150"/>
      <c r="CG103" s="151"/>
      <c r="CH103" s="151"/>
      <c r="CI103" s="151"/>
      <c r="CJ103" s="151"/>
      <c r="CK103" s="151"/>
      <c r="CL103" s="151"/>
      <c r="CM103" s="151"/>
      <c r="CN103" s="151"/>
      <c r="CO103" s="151"/>
      <c r="CP103" s="151"/>
      <c r="CQ103" s="151"/>
      <c r="CR103" s="151"/>
      <c r="CS103" s="151"/>
      <c r="CT103" s="151"/>
      <c r="CU103" s="151"/>
      <c r="CV103" s="151"/>
      <c r="CW103" s="151"/>
      <c r="CX103" s="151"/>
      <c r="CY103" s="151"/>
      <c r="CZ103" s="151"/>
      <c r="DA103" s="151"/>
      <c r="DB103" s="151"/>
      <c r="DC103" s="151"/>
      <c r="DD103" s="151"/>
      <c r="DE103" s="151"/>
      <c r="DF103" s="151"/>
      <c r="DG103" s="151"/>
      <c r="DH103" s="151"/>
      <c r="DI103" s="151"/>
      <c r="DJ103" s="151"/>
      <c r="DK103" s="151"/>
      <c r="DL103" s="151"/>
      <c r="DM103" s="151"/>
      <c r="DN103" s="151"/>
      <c r="DO103" s="151"/>
      <c r="DP103" s="151"/>
      <c r="DQ103" s="151"/>
      <c r="DR103" s="151"/>
      <c r="DS103" s="151"/>
      <c r="DT103" s="151"/>
      <c r="DU103" s="151"/>
      <c r="DV103" s="151"/>
      <c r="DW103" s="151"/>
      <c r="DX103" s="151"/>
      <c r="DY103" s="151"/>
      <c r="DZ103" s="151"/>
      <c r="EA103" s="151"/>
      <c r="EB103" s="151"/>
      <c r="EC103" s="151"/>
      <c r="ED103" s="151"/>
      <c r="EE103" s="151"/>
      <c r="EF103" s="151"/>
      <c r="EG103" s="151"/>
      <c r="EH103" s="151"/>
      <c r="EI103" s="151"/>
      <c r="EJ103" s="151"/>
      <c r="EK103" s="151"/>
      <c r="EL103" s="151"/>
      <c r="EM103" s="151"/>
      <c r="EN103" s="151"/>
      <c r="EO103" s="151"/>
      <c r="EP103" s="151"/>
      <c r="EQ103" s="151"/>
      <c r="ER103" s="151"/>
      <c r="ES103" s="151"/>
      <c r="ET103" s="151"/>
      <c r="EU103" s="151"/>
      <c r="EV103" s="151"/>
      <c r="EW103" s="151"/>
      <c r="EX103" s="151"/>
      <c r="EY103" s="151"/>
      <c r="EZ103" s="151"/>
      <c r="FA103" s="151"/>
      <c r="FB103" s="151"/>
      <c r="FC103" s="151"/>
      <c r="FD103" s="151"/>
      <c r="FE103" s="151"/>
      <c r="FF103" s="151"/>
      <c r="FG103" s="151"/>
      <c r="FH103" s="151"/>
      <c r="FI103" s="151"/>
      <c r="FJ103" s="151"/>
      <c r="FK103" s="151"/>
      <c r="FL103" s="151"/>
      <c r="FM103" s="151"/>
      <c r="FN103" s="151"/>
      <c r="FO103" s="151"/>
      <c r="FP103" s="151"/>
      <c r="FQ103" s="151"/>
      <c r="FR103" s="151"/>
      <c r="FS103" s="151"/>
      <c r="FT103" s="151"/>
      <c r="FU103" s="151"/>
      <c r="FV103" s="151"/>
      <c r="FW103" s="151"/>
      <c r="FX103" s="151"/>
      <c r="FY103" s="151"/>
      <c r="FZ103" s="151"/>
      <c r="GA103" s="151"/>
      <c r="GB103" s="151"/>
      <c r="GC103" s="151"/>
      <c r="GD103" s="151"/>
      <c r="GE103" s="151"/>
      <c r="GF103" s="151"/>
      <c r="GG103" s="151"/>
      <c r="GH103" s="151"/>
      <c r="GI103" s="151"/>
      <c r="GJ103" s="151"/>
      <c r="GK103" s="151"/>
      <c r="GL103" s="151"/>
      <c r="GM103" s="151"/>
      <c r="GN103" s="151"/>
      <c r="GO103" s="151"/>
      <c r="GP103" s="151"/>
      <c r="GQ103" s="151"/>
      <c r="GR103" s="151"/>
      <c r="GS103" s="151"/>
      <c r="GT103" s="151"/>
      <c r="GU103" s="151"/>
      <c r="GV103" s="151"/>
      <c r="GW103" s="151"/>
      <c r="GX103" s="151"/>
      <c r="GY103" s="151"/>
      <c r="GZ103" s="151"/>
      <c r="HA103" s="151"/>
      <c r="HB103" s="151"/>
      <c r="HC103" s="151"/>
      <c r="HD103" s="151"/>
      <c r="HE103" s="151"/>
      <c r="HF103" s="151"/>
      <c r="HG103" s="151"/>
      <c r="HH103" s="151"/>
      <c r="HI103" s="151"/>
      <c r="HJ103" s="151"/>
      <c r="HK103" s="151"/>
      <c r="HL103" s="151"/>
      <c r="HM103" s="151"/>
      <c r="HN103" s="151"/>
      <c r="HO103" s="151"/>
      <c r="HP103" s="151"/>
      <c r="HQ103" s="151"/>
      <c r="HR103" s="151"/>
      <c r="HS103" s="151"/>
      <c r="HT103" s="151"/>
      <c r="HU103" s="151"/>
      <c r="HV103" s="151"/>
      <c r="HW103" s="151"/>
      <c r="HX103" s="151"/>
      <c r="HY103" s="151"/>
      <c r="HZ103" s="151"/>
    </row>
    <row r="104" spans="1:234" ht="15" customHeight="1">
      <c r="A104" s="216" t="s">
        <v>873</v>
      </c>
      <c r="B104" s="128"/>
      <c r="C104" s="128"/>
      <c r="D104" s="128"/>
      <c r="E104" s="128"/>
      <c r="F104" s="128"/>
      <c r="G104" s="128"/>
      <c r="H104" s="128"/>
      <c r="I104" s="128"/>
      <c r="J104" s="159"/>
      <c r="K104" s="183" t="e">
        <f>K98</f>
        <v>#REF!</v>
      </c>
      <c r="L104" s="183" t="e">
        <f>L98</f>
        <v>#REF!</v>
      </c>
      <c r="M104" s="183" t="e">
        <f>M98</f>
        <v>#REF!</v>
      </c>
      <c r="N104" s="183" t="e">
        <f>N98</f>
        <v>#REF!</v>
      </c>
      <c r="O104" s="150"/>
      <c r="P104" s="150"/>
      <c r="Q104" s="150"/>
      <c r="R104" s="150"/>
      <c r="S104" s="150"/>
      <c r="T104" s="150"/>
      <c r="U104" s="150"/>
      <c r="V104" s="150"/>
      <c r="W104" s="150"/>
      <c r="X104" s="150"/>
      <c r="Y104" s="150"/>
      <c r="Z104" s="150"/>
      <c r="AA104" s="150"/>
      <c r="AB104" s="150"/>
      <c r="AC104" s="150"/>
      <c r="AD104" s="150"/>
      <c r="AE104" s="150"/>
      <c r="AF104" s="150"/>
      <c r="AG104" s="150"/>
      <c r="AH104" s="150"/>
      <c r="AI104" s="150"/>
      <c r="AJ104" s="150"/>
      <c r="AK104" s="150"/>
      <c r="AL104" s="150"/>
      <c r="AM104" s="150"/>
      <c r="AN104" s="150"/>
      <c r="AO104" s="150"/>
      <c r="AP104" s="150"/>
      <c r="AQ104" s="150"/>
      <c r="AR104" s="150"/>
      <c r="AS104" s="150"/>
      <c r="AT104" s="150"/>
      <c r="AU104" s="150"/>
      <c r="AV104" s="150"/>
      <c r="AW104" s="150"/>
      <c r="AX104" s="150"/>
      <c r="AY104" s="150"/>
      <c r="AZ104" s="150"/>
      <c r="BA104" s="150"/>
      <c r="BB104" s="150"/>
      <c r="BC104" s="150"/>
      <c r="BD104" s="150"/>
      <c r="BE104" s="150"/>
      <c r="BF104" s="150"/>
      <c r="BG104" s="150"/>
      <c r="BH104" s="150"/>
      <c r="BI104" s="150"/>
      <c r="BJ104" s="150"/>
      <c r="BK104" s="150"/>
      <c r="BL104" s="150"/>
      <c r="BM104" s="150"/>
      <c r="BN104" s="150"/>
      <c r="BO104" s="150"/>
      <c r="BP104" s="150"/>
      <c r="BQ104" s="150"/>
      <c r="BR104" s="150"/>
      <c r="BS104" s="150"/>
      <c r="BT104" s="150"/>
      <c r="BU104" s="150"/>
      <c r="BV104" s="150"/>
      <c r="BW104" s="150"/>
      <c r="BX104" s="150"/>
      <c r="BY104" s="150"/>
      <c r="BZ104" s="150"/>
      <c r="CA104" s="150"/>
      <c r="CB104" s="150"/>
      <c r="CC104" s="150"/>
      <c r="CD104" s="150"/>
      <c r="CE104" s="150"/>
      <c r="CF104" s="150"/>
      <c r="CG104" s="151"/>
      <c r="CH104" s="151"/>
      <c r="CI104" s="151"/>
      <c r="CJ104" s="151"/>
      <c r="CK104" s="151"/>
      <c r="CL104" s="151"/>
      <c r="CM104" s="151"/>
      <c r="CN104" s="151"/>
      <c r="CO104" s="151"/>
      <c r="CP104" s="151"/>
      <c r="CQ104" s="151"/>
      <c r="CR104" s="151"/>
      <c r="CS104" s="151"/>
      <c r="CT104" s="151"/>
      <c r="CU104" s="151"/>
      <c r="CV104" s="151"/>
      <c r="CW104" s="151"/>
      <c r="CX104" s="151"/>
      <c r="CY104" s="151"/>
      <c r="CZ104" s="151"/>
      <c r="DA104" s="151"/>
      <c r="DB104" s="151"/>
      <c r="DC104" s="151"/>
      <c r="DD104" s="151"/>
      <c r="DE104" s="151"/>
      <c r="DF104" s="151"/>
      <c r="DG104" s="151"/>
      <c r="DH104" s="151"/>
      <c r="DI104" s="151"/>
      <c r="DJ104" s="151"/>
      <c r="DK104" s="151"/>
      <c r="DL104" s="151"/>
      <c r="DM104" s="151"/>
      <c r="DN104" s="151"/>
      <c r="DO104" s="151"/>
      <c r="DP104" s="151"/>
      <c r="DQ104" s="151"/>
      <c r="DR104" s="151"/>
      <c r="DS104" s="151"/>
      <c r="DT104" s="151"/>
      <c r="DU104" s="151"/>
      <c r="DV104" s="151"/>
      <c r="DW104" s="151"/>
      <c r="DX104" s="151"/>
      <c r="DY104" s="151"/>
      <c r="DZ104" s="151"/>
      <c r="EA104" s="151"/>
      <c r="EB104" s="151"/>
      <c r="EC104" s="151"/>
      <c r="ED104" s="151"/>
      <c r="EE104" s="151"/>
      <c r="EF104" s="151"/>
      <c r="EG104" s="151"/>
      <c r="EH104" s="151"/>
      <c r="EI104" s="151"/>
      <c r="EJ104" s="151"/>
      <c r="EK104" s="151"/>
      <c r="EL104" s="151"/>
      <c r="EM104" s="151"/>
      <c r="EN104" s="151"/>
      <c r="EO104" s="151"/>
      <c r="EP104" s="151"/>
      <c r="EQ104" s="151"/>
      <c r="ER104" s="151"/>
      <c r="ES104" s="151"/>
      <c r="ET104" s="151"/>
      <c r="EU104" s="151"/>
      <c r="EV104" s="151"/>
      <c r="EW104" s="151"/>
      <c r="EX104" s="151"/>
      <c r="EY104" s="151"/>
      <c r="EZ104" s="151"/>
      <c r="FA104" s="151"/>
      <c r="FB104" s="151"/>
      <c r="FC104" s="151"/>
      <c r="FD104" s="151"/>
      <c r="FE104" s="151"/>
      <c r="FF104" s="151"/>
      <c r="FG104" s="151"/>
      <c r="FH104" s="151"/>
      <c r="FI104" s="151"/>
      <c r="FJ104" s="151"/>
      <c r="FK104" s="151"/>
      <c r="FL104" s="151"/>
      <c r="FM104" s="151"/>
      <c r="FN104" s="151"/>
      <c r="FO104" s="151"/>
      <c r="FP104" s="151"/>
      <c r="FQ104" s="151"/>
      <c r="FR104" s="151"/>
      <c r="FS104" s="151"/>
      <c r="FT104" s="151"/>
      <c r="FU104" s="151"/>
      <c r="FV104" s="151"/>
      <c r="FW104" s="151"/>
      <c r="FX104" s="151"/>
      <c r="FY104" s="151"/>
      <c r="FZ104" s="151"/>
      <c r="GA104" s="151"/>
      <c r="GB104" s="151"/>
      <c r="GC104" s="151"/>
      <c r="GD104" s="151"/>
      <c r="GE104" s="151"/>
      <c r="GF104" s="151"/>
      <c r="GG104" s="151"/>
      <c r="GH104" s="151"/>
      <c r="GI104" s="151"/>
      <c r="GJ104" s="151"/>
      <c r="GK104" s="151"/>
      <c r="GL104" s="151"/>
      <c r="GM104" s="151"/>
      <c r="GN104" s="151"/>
      <c r="GO104" s="151"/>
      <c r="GP104" s="151"/>
      <c r="GQ104" s="151"/>
      <c r="GR104" s="151"/>
      <c r="GS104" s="151"/>
      <c r="GT104" s="151"/>
      <c r="GU104" s="151"/>
      <c r="GV104" s="151"/>
      <c r="GW104" s="151"/>
      <c r="GX104" s="151"/>
      <c r="GY104" s="151"/>
      <c r="GZ104" s="151"/>
      <c r="HA104" s="151"/>
      <c r="HB104" s="151"/>
      <c r="HC104" s="151"/>
      <c r="HD104" s="151"/>
      <c r="HE104" s="151"/>
      <c r="HF104" s="151"/>
      <c r="HG104" s="151"/>
      <c r="HH104" s="151"/>
      <c r="HI104" s="151"/>
      <c r="HJ104" s="151"/>
      <c r="HK104" s="151"/>
      <c r="HL104" s="151"/>
      <c r="HM104" s="151"/>
      <c r="HN104" s="151"/>
      <c r="HO104" s="151"/>
      <c r="HP104" s="151"/>
      <c r="HQ104" s="151"/>
      <c r="HR104" s="151"/>
      <c r="HS104" s="151"/>
      <c r="HT104" s="151"/>
      <c r="HU104" s="151"/>
      <c r="HV104" s="151"/>
      <c r="HW104" s="151"/>
      <c r="HX104" s="151"/>
      <c r="HY104" s="151"/>
      <c r="HZ104" s="151"/>
    </row>
    <row r="105" spans="1:234" ht="14.1" customHeight="1">
      <c r="A105" s="230" t="s">
        <v>175</v>
      </c>
      <c r="B105" s="231"/>
      <c r="C105" s="231"/>
      <c r="D105" s="231"/>
      <c r="E105" s="231"/>
      <c r="F105" s="231"/>
      <c r="G105" s="231"/>
      <c r="H105" s="231"/>
      <c r="I105" s="167"/>
      <c r="J105" s="205"/>
      <c r="K105" s="232" t="e">
        <f>SUM(K100:K104)</f>
        <v>#REF!</v>
      </c>
      <c r="L105" s="232" t="e">
        <f>SUM(L100:L104)</f>
        <v>#REF!</v>
      </c>
      <c r="M105" s="232" t="e">
        <f>SUM(M100:M104)</f>
        <v>#REF!</v>
      </c>
      <c r="N105" s="232" t="e">
        <f>SUM(N100:N104)</f>
        <v>#REF!</v>
      </c>
    </row>
    <row r="106" spans="1:234" ht="22.5" customHeight="1">
      <c r="A106" s="206" t="s">
        <v>1021</v>
      </c>
      <c r="B106" s="207"/>
      <c r="C106" s="207"/>
      <c r="D106" s="207"/>
      <c r="E106" s="207"/>
      <c r="F106" s="207"/>
      <c r="G106" s="165"/>
      <c r="H106" s="165"/>
      <c r="I106" s="165"/>
      <c r="J106" s="233" t="s">
        <v>156</v>
      </c>
      <c r="K106" s="234"/>
      <c r="L106" s="234"/>
      <c r="M106" s="234"/>
      <c r="N106" s="234"/>
    </row>
    <row r="107" spans="1:234">
      <c r="A107" s="189" t="s">
        <v>223</v>
      </c>
      <c r="B107" s="178"/>
      <c r="C107" s="178"/>
      <c r="D107" s="178"/>
      <c r="E107" s="178"/>
      <c r="F107" s="164"/>
      <c r="G107" s="164"/>
      <c r="H107" s="164"/>
      <c r="I107" s="343"/>
      <c r="J107" s="164"/>
      <c r="K107" s="343"/>
      <c r="L107" s="343"/>
      <c r="M107" s="343"/>
      <c r="N107" s="343"/>
    </row>
    <row r="108" spans="1:234" ht="15.95" customHeight="1">
      <c r="A108" s="276" t="s">
        <v>157</v>
      </c>
      <c r="B108" s="200" t="s">
        <v>1022</v>
      </c>
      <c r="C108" s="178"/>
      <c r="D108" s="178"/>
      <c r="E108" s="178"/>
      <c r="F108" s="178"/>
      <c r="G108" s="178"/>
      <c r="H108" s="178"/>
      <c r="I108" s="201"/>
      <c r="J108" s="312" t="e">
        <f>'Dados - Composição PCFP'!#REF!</f>
        <v>#REF!</v>
      </c>
      <c r="K108" s="187" t="e">
        <f>$J108*$K$105</f>
        <v>#REF!</v>
      </c>
      <c r="L108" s="187" t="e">
        <f>$J108*$L$105</f>
        <v>#REF!</v>
      </c>
      <c r="M108" s="187" t="e">
        <f>$J108*$M$105</f>
        <v>#REF!</v>
      </c>
      <c r="N108" s="187" t="e">
        <f>$J108*$N$105</f>
        <v>#REF!</v>
      </c>
    </row>
    <row r="109" spans="1:234" ht="15" customHeight="1">
      <c r="A109" s="276" t="s">
        <v>159</v>
      </c>
      <c r="B109" s="177" t="s">
        <v>1023</v>
      </c>
      <c r="C109" s="178"/>
      <c r="D109" s="178"/>
      <c r="E109" s="178"/>
      <c r="F109" s="178"/>
      <c r="G109" s="178"/>
      <c r="H109" s="178"/>
      <c r="I109" s="201"/>
      <c r="J109" s="312" t="e">
        <f>'Dados - Composição PCFP'!#REF!</f>
        <v>#REF!</v>
      </c>
      <c r="K109" s="187" t="e">
        <f>$J109*($K$105+$K$108)</f>
        <v>#REF!</v>
      </c>
      <c r="L109" s="187" t="e">
        <f>$J109*(L105+L108)</f>
        <v>#REF!</v>
      </c>
      <c r="M109" s="187" t="e">
        <f>$J109*($M$105+$M$108)</f>
        <v>#REF!</v>
      </c>
      <c r="N109" s="187" t="e">
        <f>$J109*($N$105+$N$108)</f>
        <v>#REF!</v>
      </c>
    </row>
    <row r="110" spans="1:234" ht="15" customHeight="1">
      <c r="A110" s="1105" t="s">
        <v>161</v>
      </c>
      <c r="B110" s="195" t="s">
        <v>227</v>
      </c>
      <c r="C110" s="196"/>
      <c r="D110" s="196"/>
      <c r="E110" s="196"/>
      <c r="F110" s="196"/>
      <c r="G110" s="196"/>
      <c r="H110" s="197"/>
      <c r="I110" s="202" t="s">
        <v>224</v>
      </c>
      <c r="J110" s="1108" t="e">
        <f>SUM(I111:I116)</f>
        <v>#REF!</v>
      </c>
      <c r="K110" s="1111" t="e">
        <f>($J110)*(K105+K108+K109)/1-$J110</f>
        <v>#REF!</v>
      </c>
      <c r="L110" s="1111" t="e">
        <f>($J110)*(L105+L108+L109)/1-$J110</f>
        <v>#REF!</v>
      </c>
      <c r="M110" s="1111" t="e">
        <f>($J110)*(M105+M108+M109)/1-$J110</f>
        <v>#REF!</v>
      </c>
      <c r="N110" s="1111" t="e">
        <f>$J110*(N105+N108+N109)</f>
        <v>#REF!</v>
      </c>
    </row>
    <row r="111" spans="1:234" ht="12.75" customHeight="1">
      <c r="A111" s="1106"/>
      <c r="B111" s="198" t="s">
        <v>1024</v>
      </c>
      <c r="C111" s="1114" t="s">
        <v>1025</v>
      </c>
      <c r="D111" s="1114"/>
      <c r="E111" s="1114"/>
      <c r="F111" s="199" t="s">
        <v>229</v>
      </c>
      <c r="G111" s="196"/>
      <c r="H111" s="197"/>
      <c r="I111" s="313" t="e">
        <f>'Dados - Composição PCFP'!#REF!</f>
        <v>#REF!</v>
      </c>
      <c r="J111" s="1109"/>
      <c r="K111" s="1111"/>
      <c r="L111" s="1111"/>
      <c r="M111" s="1111"/>
      <c r="N111" s="1111"/>
      <c r="O111" s="150"/>
      <c r="P111" s="150"/>
      <c r="Q111" s="150"/>
      <c r="R111" s="150"/>
      <c r="S111" s="150"/>
      <c r="T111" s="150"/>
      <c r="U111" s="150"/>
      <c r="V111" s="150"/>
      <c r="W111" s="150"/>
      <c r="X111" s="150"/>
      <c r="Y111" s="150"/>
      <c r="Z111" s="150"/>
      <c r="AA111" s="150"/>
      <c r="AB111" s="150"/>
      <c r="AC111" s="150"/>
      <c r="AD111" s="150"/>
      <c r="AE111" s="150"/>
      <c r="AF111" s="150"/>
      <c r="AG111" s="150"/>
      <c r="AH111" s="150"/>
      <c r="AI111" s="150"/>
      <c r="AJ111" s="150"/>
      <c r="AK111" s="150"/>
      <c r="AL111" s="150"/>
      <c r="AM111" s="150"/>
      <c r="AN111" s="150"/>
      <c r="AO111" s="150"/>
      <c r="AP111" s="150"/>
      <c r="AQ111" s="150"/>
      <c r="AR111" s="150"/>
      <c r="AS111" s="150"/>
      <c r="AT111" s="150"/>
      <c r="AU111" s="150"/>
      <c r="AV111" s="150"/>
      <c r="AW111" s="150"/>
      <c r="AX111" s="150"/>
      <c r="AY111" s="150"/>
      <c r="AZ111" s="150"/>
      <c r="BA111" s="150"/>
      <c r="BB111" s="150"/>
      <c r="BC111" s="150"/>
      <c r="BD111" s="150"/>
      <c r="BE111" s="150"/>
      <c r="BF111" s="150"/>
      <c r="BG111" s="150"/>
      <c r="BH111" s="150"/>
      <c r="BI111" s="150"/>
      <c r="BJ111" s="150"/>
      <c r="BK111" s="150"/>
      <c r="BL111" s="150"/>
      <c r="BM111" s="150"/>
      <c r="BN111" s="150"/>
      <c r="BO111" s="150"/>
      <c r="BP111" s="150"/>
      <c r="BQ111" s="150"/>
      <c r="BR111" s="150"/>
      <c r="BS111" s="150"/>
      <c r="BT111" s="150"/>
      <c r="BU111" s="150"/>
      <c r="BV111" s="150"/>
      <c r="BW111" s="150"/>
      <c r="BX111" s="150"/>
      <c r="BY111" s="150"/>
      <c r="BZ111" s="150"/>
      <c r="CA111" s="150"/>
      <c r="CB111" s="150"/>
      <c r="CC111" s="150"/>
      <c r="CD111" s="150"/>
      <c r="CE111" s="150"/>
      <c r="CF111" s="150"/>
      <c r="CG111" s="151"/>
      <c r="CH111" s="151"/>
      <c r="CI111" s="151"/>
      <c r="CJ111" s="151"/>
      <c r="CK111" s="151"/>
      <c r="CL111" s="151"/>
      <c r="CM111" s="151"/>
      <c r="CN111" s="151"/>
      <c r="CO111" s="151"/>
      <c r="CP111" s="151"/>
      <c r="CQ111" s="151"/>
      <c r="CR111" s="151"/>
      <c r="CS111" s="151"/>
      <c r="CT111" s="151"/>
      <c r="CU111" s="151"/>
      <c r="CV111" s="151"/>
      <c r="CW111" s="151"/>
      <c r="CX111" s="151"/>
      <c r="CY111" s="151"/>
      <c r="CZ111" s="151"/>
      <c r="DA111" s="151"/>
      <c r="DB111" s="151"/>
      <c r="DC111" s="151"/>
      <c r="DD111" s="151"/>
      <c r="DE111" s="151"/>
      <c r="DF111" s="151"/>
      <c r="DG111" s="151"/>
      <c r="DH111" s="151"/>
      <c r="DI111" s="151"/>
      <c r="DJ111" s="151"/>
      <c r="DK111" s="151"/>
      <c r="DL111" s="151"/>
      <c r="DM111" s="151"/>
      <c r="DN111" s="151"/>
      <c r="DO111" s="151"/>
      <c r="DP111" s="151"/>
      <c r="DQ111" s="151"/>
      <c r="DR111" s="151"/>
      <c r="DS111" s="151"/>
      <c r="DT111" s="151"/>
      <c r="DU111" s="151"/>
      <c r="DV111" s="151"/>
      <c r="DW111" s="151"/>
      <c r="DX111" s="151"/>
      <c r="DY111" s="151"/>
      <c r="DZ111" s="151"/>
      <c r="EA111" s="151"/>
      <c r="EB111" s="151"/>
      <c r="EC111" s="151"/>
      <c r="ED111" s="151"/>
      <c r="EE111" s="151"/>
      <c r="EF111" s="151"/>
      <c r="EG111" s="151"/>
      <c r="EH111" s="151"/>
      <c r="EI111" s="151"/>
      <c r="EJ111" s="151"/>
      <c r="EK111" s="151"/>
      <c r="EL111" s="151"/>
      <c r="EM111" s="151"/>
      <c r="EN111" s="151"/>
      <c r="EO111" s="151"/>
      <c r="EP111" s="151"/>
      <c r="EQ111" s="151"/>
      <c r="ER111" s="151"/>
      <c r="ES111" s="151"/>
      <c r="ET111" s="151"/>
      <c r="EU111" s="151"/>
      <c r="EV111" s="151"/>
      <c r="EW111" s="151"/>
      <c r="EX111" s="151"/>
      <c r="EY111" s="151"/>
      <c r="EZ111" s="151"/>
      <c r="FA111" s="151"/>
      <c r="FB111" s="151"/>
      <c r="FC111" s="151"/>
      <c r="FD111" s="151"/>
      <c r="FE111" s="151"/>
      <c r="FF111" s="151"/>
      <c r="FG111" s="151"/>
      <c r="FH111" s="151"/>
      <c r="FI111" s="151"/>
      <c r="FJ111" s="151"/>
      <c r="FK111" s="151"/>
      <c r="FL111" s="151"/>
      <c r="FM111" s="151"/>
      <c r="FN111" s="151"/>
      <c r="FO111" s="151"/>
      <c r="FP111" s="151"/>
      <c r="FQ111" s="151"/>
      <c r="FR111" s="151"/>
      <c r="FS111" s="151"/>
      <c r="FT111" s="151"/>
      <c r="FU111" s="151"/>
      <c r="FV111" s="151"/>
      <c r="FW111" s="151"/>
      <c r="FX111" s="151"/>
      <c r="FY111" s="151"/>
      <c r="FZ111" s="151"/>
      <c r="GA111" s="151"/>
      <c r="GB111" s="151"/>
      <c r="GC111" s="151"/>
      <c r="GD111" s="151"/>
      <c r="GE111" s="151"/>
      <c r="GF111" s="151"/>
      <c r="GG111" s="151"/>
      <c r="GH111" s="151"/>
      <c r="GI111" s="151"/>
      <c r="GJ111" s="151"/>
      <c r="GK111" s="151"/>
      <c r="GL111" s="151"/>
      <c r="GM111" s="151"/>
      <c r="GN111" s="151"/>
      <c r="GO111" s="151"/>
      <c r="GP111" s="151"/>
      <c r="GQ111" s="151"/>
      <c r="GR111" s="151"/>
      <c r="GS111" s="151"/>
      <c r="GT111" s="151"/>
      <c r="GU111" s="151"/>
      <c r="GV111" s="151"/>
      <c r="GW111" s="151"/>
      <c r="GX111" s="151"/>
      <c r="GY111" s="151"/>
      <c r="GZ111" s="151"/>
      <c r="HA111" s="151"/>
      <c r="HB111" s="151"/>
      <c r="HC111" s="151"/>
      <c r="HD111" s="151"/>
      <c r="HE111" s="151"/>
      <c r="HF111" s="151"/>
      <c r="HG111" s="151"/>
      <c r="HH111" s="151"/>
      <c r="HI111" s="151"/>
      <c r="HJ111" s="151"/>
      <c r="HK111" s="151"/>
      <c r="HL111" s="151"/>
      <c r="HM111" s="151"/>
      <c r="HN111" s="151"/>
      <c r="HO111" s="151"/>
      <c r="HP111" s="151"/>
      <c r="HQ111" s="151"/>
      <c r="HR111" s="151"/>
      <c r="HS111" s="151"/>
      <c r="HT111" s="151"/>
      <c r="HU111" s="151"/>
      <c r="HV111" s="151"/>
      <c r="HW111" s="151"/>
      <c r="HX111" s="151"/>
      <c r="HY111" s="151"/>
      <c r="HZ111" s="151"/>
    </row>
    <row r="112" spans="1:234" ht="12.75" customHeight="1">
      <c r="A112" s="1106"/>
      <c r="B112" s="192"/>
      <c r="C112" s="193"/>
      <c r="D112" s="193"/>
      <c r="E112" s="194"/>
      <c r="F112" s="189" t="s">
        <v>230</v>
      </c>
      <c r="G112" s="178"/>
      <c r="H112" s="176"/>
      <c r="I112" s="313" t="e">
        <f>'Dados - Composição PCFP'!#REF!</f>
        <v>#REF!</v>
      </c>
      <c r="J112" s="1109"/>
      <c r="K112" s="1111"/>
      <c r="L112" s="1111"/>
      <c r="M112" s="1111"/>
      <c r="N112" s="1111"/>
      <c r="O112" s="150"/>
      <c r="P112" s="150"/>
      <c r="Q112" s="150"/>
      <c r="R112" s="150"/>
      <c r="S112" s="150"/>
      <c r="T112" s="150"/>
      <c r="U112" s="150"/>
      <c r="V112" s="150"/>
      <c r="W112" s="150"/>
      <c r="X112" s="150"/>
      <c r="Y112" s="150"/>
      <c r="Z112" s="150"/>
      <c r="AA112" s="150"/>
      <c r="AB112" s="150"/>
      <c r="AC112" s="150"/>
      <c r="AD112" s="150"/>
      <c r="AE112" s="150"/>
      <c r="AF112" s="150"/>
      <c r="AG112" s="150"/>
      <c r="AH112" s="150"/>
      <c r="AI112" s="150"/>
      <c r="AJ112" s="150"/>
      <c r="AK112" s="150"/>
      <c r="AL112" s="150"/>
      <c r="AM112" s="150"/>
      <c r="AN112" s="150"/>
      <c r="AO112" s="150"/>
      <c r="AP112" s="150"/>
      <c r="AQ112" s="150"/>
      <c r="AR112" s="150"/>
      <c r="AS112" s="150"/>
      <c r="AT112" s="150"/>
      <c r="AU112" s="150"/>
      <c r="AV112" s="150"/>
      <c r="AW112" s="150"/>
      <c r="AX112" s="150"/>
      <c r="AY112" s="150"/>
      <c r="AZ112" s="150"/>
      <c r="BA112" s="150"/>
      <c r="BB112" s="150"/>
      <c r="BC112" s="150"/>
      <c r="BD112" s="150"/>
      <c r="BE112" s="150"/>
      <c r="BF112" s="150"/>
      <c r="BG112" s="150"/>
      <c r="BH112" s="150"/>
      <c r="BI112" s="150"/>
      <c r="BJ112" s="150"/>
      <c r="BK112" s="150"/>
      <c r="BL112" s="150"/>
      <c r="BM112" s="150"/>
      <c r="BN112" s="150"/>
      <c r="BO112" s="150"/>
      <c r="BP112" s="150"/>
      <c r="BQ112" s="150"/>
      <c r="BR112" s="150"/>
      <c r="BS112" s="150"/>
      <c r="BT112" s="150"/>
      <c r="BU112" s="150"/>
      <c r="BV112" s="150"/>
      <c r="BW112" s="150"/>
      <c r="BX112" s="150"/>
      <c r="BY112" s="150"/>
      <c r="BZ112" s="150"/>
      <c r="CA112" s="150"/>
      <c r="CB112" s="150"/>
      <c r="CC112" s="150"/>
      <c r="CD112" s="150"/>
      <c r="CE112" s="150"/>
      <c r="CF112" s="150"/>
      <c r="CG112" s="151"/>
      <c r="CH112" s="151"/>
      <c r="CI112" s="151"/>
      <c r="CJ112" s="151"/>
      <c r="CK112" s="151"/>
      <c r="CL112" s="151"/>
      <c r="CM112" s="151"/>
      <c r="CN112" s="151"/>
      <c r="CO112" s="151"/>
      <c r="CP112" s="151"/>
      <c r="CQ112" s="151"/>
      <c r="CR112" s="151"/>
      <c r="CS112" s="151"/>
      <c r="CT112" s="151"/>
      <c r="CU112" s="151"/>
      <c r="CV112" s="151"/>
      <c r="CW112" s="151"/>
      <c r="CX112" s="151"/>
      <c r="CY112" s="151"/>
      <c r="CZ112" s="151"/>
      <c r="DA112" s="151"/>
      <c r="DB112" s="151"/>
      <c r="DC112" s="151"/>
      <c r="DD112" s="151"/>
      <c r="DE112" s="151"/>
      <c r="DF112" s="151"/>
      <c r="DG112" s="151"/>
      <c r="DH112" s="151"/>
      <c r="DI112" s="151"/>
      <c r="DJ112" s="151"/>
      <c r="DK112" s="151"/>
      <c r="DL112" s="151"/>
      <c r="DM112" s="151"/>
      <c r="DN112" s="151"/>
      <c r="DO112" s="151"/>
      <c r="DP112" s="151"/>
      <c r="DQ112" s="151"/>
      <c r="DR112" s="151"/>
      <c r="DS112" s="151"/>
      <c r="DT112" s="151"/>
      <c r="DU112" s="151"/>
      <c r="DV112" s="151"/>
      <c r="DW112" s="151"/>
      <c r="DX112" s="151"/>
      <c r="DY112" s="151"/>
      <c r="DZ112" s="151"/>
      <c r="EA112" s="151"/>
      <c r="EB112" s="151"/>
      <c r="EC112" s="151"/>
      <c r="ED112" s="151"/>
      <c r="EE112" s="151"/>
      <c r="EF112" s="151"/>
      <c r="EG112" s="151"/>
      <c r="EH112" s="151"/>
      <c r="EI112" s="151"/>
      <c r="EJ112" s="151"/>
      <c r="EK112" s="151"/>
      <c r="EL112" s="151"/>
      <c r="EM112" s="151"/>
      <c r="EN112" s="151"/>
      <c r="EO112" s="151"/>
      <c r="EP112" s="151"/>
      <c r="EQ112" s="151"/>
      <c r="ER112" s="151"/>
      <c r="ES112" s="151"/>
      <c r="ET112" s="151"/>
      <c r="EU112" s="151"/>
      <c r="EV112" s="151"/>
      <c r="EW112" s="151"/>
      <c r="EX112" s="151"/>
      <c r="EY112" s="151"/>
      <c r="EZ112" s="151"/>
      <c r="FA112" s="151"/>
      <c r="FB112" s="151"/>
      <c r="FC112" s="151"/>
      <c r="FD112" s="151"/>
      <c r="FE112" s="151"/>
      <c r="FF112" s="151"/>
      <c r="FG112" s="151"/>
      <c r="FH112" s="151"/>
      <c r="FI112" s="151"/>
      <c r="FJ112" s="151"/>
      <c r="FK112" s="151"/>
      <c r="FL112" s="151"/>
      <c r="FM112" s="151"/>
      <c r="FN112" s="151"/>
      <c r="FO112" s="151"/>
      <c r="FP112" s="151"/>
      <c r="FQ112" s="151"/>
      <c r="FR112" s="151"/>
      <c r="FS112" s="151"/>
      <c r="FT112" s="151"/>
      <c r="FU112" s="151"/>
      <c r="FV112" s="151"/>
      <c r="FW112" s="151"/>
      <c r="FX112" s="151"/>
      <c r="FY112" s="151"/>
      <c r="FZ112" s="151"/>
      <c r="GA112" s="151"/>
      <c r="GB112" s="151"/>
      <c r="GC112" s="151"/>
      <c r="GD112" s="151"/>
      <c r="GE112" s="151"/>
      <c r="GF112" s="151"/>
      <c r="GG112" s="151"/>
      <c r="GH112" s="151"/>
      <c r="GI112" s="151"/>
      <c r="GJ112" s="151"/>
      <c r="GK112" s="151"/>
      <c r="GL112" s="151"/>
      <c r="GM112" s="151"/>
      <c r="GN112" s="151"/>
      <c r="GO112" s="151"/>
      <c r="GP112" s="151"/>
      <c r="GQ112" s="151"/>
      <c r="GR112" s="151"/>
      <c r="GS112" s="151"/>
      <c r="GT112" s="151"/>
      <c r="GU112" s="151"/>
      <c r="GV112" s="151"/>
      <c r="GW112" s="151"/>
      <c r="GX112" s="151"/>
      <c r="GY112" s="151"/>
      <c r="GZ112" s="151"/>
      <c r="HA112" s="151"/>
      <c r="HB112" s="151"/>
      <c r="HC112" s="151"/>
      <c r="HD112" s="151"/>
      <c r="HE112" s="151"/>
      <c r="HF112" s="151"/>
      <c r="HG112" s="151"/>
      <c r="HH112" s="151"/>
      <c r="HI112" s="151"/>
      <c r="HJ112" s="151"/>
      <c r="HK112" s="151"/>
      <c r="HL112" s="151"/>
      <c r="HM112" s="151"/>
      <c r="HN112" s="151"/>
      <c r="HO112" s="151"/>
      <c r="HP112" s="151"/>
      <c r="HQ112" s="151"/>
      <c r="HR112" s="151"/>
      <c r="HS112" s="151"/>
      <c r="HT112" s="151"/>
      <c r="HU112" s="151"/>
      <c r="HV112" s="151"/>
      <c r="HW112" s="151"/>
      <c r="HX112" s="151"/>
      <c r="HY112" s="151"/>
      <c r="HZ112" s="151"/>
    </row>
    <row r="113" spans="1:234" ht="12.75" customHeight="1">
      <c r="A113" s="1106"/>
      <c r="B113" s="195"/>
      <c r="C113" s="196"/>
      <c r="D113" s="196"/>
      <c r="E113" s="197"/>
      <c r="F113" s="189" t="s">
        <v>1026</v>
      </c>
      <c r="G113" s="1115"/>
      <c r="H113" s="1116"/>
      <c r="I113" s="314"/>
      <c r="J113" s="1109"/>
      <c r="K113" s="1111"/>
      <c r="L113" s="1111"/>
      <c r="M113" s="1111"/>
      <c r="N113" s="1111"/>
      <c r="O113" s="150"/>
      <c r="P113" s="150"/>
      <c r="Q113" s="150"/>
      <c r="R113" s="150"/>
      <c r="S113" s="150"/>
      <c r="T113" s="150"/>
      <c r="U113" s="150"/>
      <c r="V113" s="150"/>
      <c r="W113" s="150"/>
      <c r="X113" s="150"/>
      <c r="Y113" s="150"/>
      <c r="Z113" s="150"/>
      <c r="AA113" s="150"/>
      <c r="AB113" s="150"/>
      <c r="AC113" s="150"/>
      <c r="AD113" s="150"/>
      <c r="AE113" s="150"/>
      <c r="AF113" s="150"/>
      <c r="AG113" s="150"/>
      <c r="AH113" s="150"/>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0"/>
      <c r="BD113" s="150"/>
      <c r="BE113" s="150"/>
      <c r="BF113" s="150"/>
      <c r="BG113" s="150"/>
      <c r="BH113" s="150"/>
      <c r="BI113" s="150"/>
      <c r="BJ113" s="150"/>
      <c r="BK113" s="150"/>
      <c r="BL113" s="150"/>
      <c r="BM113" s="150"/>
      <c r="BN113" s="150"/>
      <c r="BO113" s="150"/>
      <c r="BP113" s="150"/>
      <c r="BQ113" s="150"/>
      <c r="BR113" s="150"/>
      <c r="BS113" s="150"/>
      <c r="BT113" s="150"/>
      <c r="BU113" s="150"/>
      <c r="BV113" s="150"/>
      <c r="BW113" s="150"/>
      <c r="BX113" s="150"/>
      <c r="BY113" s="150"/>
      <c r="BZ113" s="150"/>
      <c r="CA113" s="150"/>
      <c r="CB113" s="150"/>
      <c r="CC113" s="150"/>
      <c r="CD113" s="150"/>
      <c r="CE113" s="150"/>
      <c r="CF113" s="150"/>
      <c r="CG113" s="151"/>
      <c r="CH113" s="151"/>
      <c r="CI113" s="151"/>
      <c r="CJ113" s="151"/>
      <c r="CK113" s="151"/>
      <c r="CL113" s="151"/>
      <c r="CM113" s="151"/>
      <c r="CN113" s="151"/>
      <c r="CO113" s="151"/>
      <c r="CP113" s="151"/>
      <c r="CQ113" s="151"/>
      <c r="CR113" s="151"/>
      <c r="CS113" s="151"/>
      <c r="CT113" s="151"/>
      <c r="CU113" s="151"/>
      <c r="CV113" s="151"/>
      <c r="CW113" s="151"/>
      <c r="CX113" s="151"/>
      <c r="CY113" s="151"/>
      <c r="CZ113" s="151"/>
      <c r="DA113" s="151"/>
      <c r="DB113" s="151"/>
      <c r="DC113" s="151"/>
      <c r="DD113" s="151"/>
      <c r="DE113" s="151"/>
      <c r="DF113" s="151"/>
      <c r="DG113" s="151"/>
      <c r="DH113" s="151"/>
      <c r="DI113" s="151"/>
      <c r="DJ113" s="151"/>
      <c r="DK113" s="151"/>
      <c r="DL113" s="151"/>
      <c r="DM113" s="151"/>
      <c r="DN113" s="151"/>
      <c r="DO113" s="151"/>
      <c r="DP113" s="151"/>
      <c r="DQ113" s="151"/>
      <c r="DR113" s="151"/>
      <c r="DS113" s="151"/>
      <c r="DT113" s="151"/>
      <c r="DU113" s="151"/>
      <c r="DV113" s="151"/>
      <c r="DW113" s="151"/>
      <c r="DX113" s="151"/>
      <c r="DY113" s="151"/>
      <c r="DZ113" s="151"/>
      <c r="EA113" s="151"/>
      <c r="EB113" s="151"/>
      <c r="EC113" s="151"/>
      <c r="ED113" s="151"/>
      <c r="EE113" s="151"/>
      <c r="EF113" s="151"/>
      <c r="EG113" s="151"/>
      <c r="EH113" s="151"/>
      <c r="EI113" s="151"/>
      <c r="EJ113" s="151"/>
      <c r="EK113" s="151"/>
      <c r="EL113" s="151"/>
      <c r="EM113" s="151"/>
      <c r="EN113" s="151"/>
      <c r="EO113" s="151"/>
      <c r="EP113" s="151"/>
      <c r="EQ113" s="151"/>
      <c r="ER113" s="151"/>
      <c r="ES113" s="151"/>
      <c r="ET113" s="151"/>
      <c r="EU113" s="151"/>
      <c r="EV113" s="151"/>
      <c r="EW113" s="151"/>
      <c r="EX113" s="151"/>
      <c r="EY113" s="151"/>
      <c r="EZ113" s="151"/>
      <c r="FA113" s="151"/>
      <c r="FB113" s="151"/>
      <c r="FC113" s="151"/>
      <c r="FD113" s="151"/>
      <c r="FE113" s="151"/>
      <c r="FF113" s="151"/>
      <c r="FG113" s="151"/>
      <c r="FH113" s="151"/>
      <c r="FI113" s="151"/>
      <c r="FJ113" s="151"/>
      <c r="FK113" s="151"/>
      <c r="FL113" s="151"/>
      <c r="FM113" s="151"/>
      <c r="FN113" s="151"/>
      <c r="FO113" s="151"/>
      <c r="FP113" s="151"/>
      <c r="FQ113" s="151"/>
      <c r="FR113" s="151"/>
      <c r="FS113" s="151"/>
      <c r="FT113" s="151"/>
      <c r="FU113" s="151"/>
      <c r="FV113" s="151"/>
      <c r="FW113" s="151"/>
      <c r="FX113" s="151"/>
      <c r="FY113" s="151"/>
      <c r="FZ113" s="151"/>
      <c r="GA113" s="151"/>
      <c r="GB113" s="151"/>
      <c r="GC113" s="151"/>
      <c r="GD113" s="151"/>
      <c r="GE113" s="151"/>
      <c r="GF113" s="151"/>
      <c r="GG113" s="151"/>
      <c r="GH113" s="151"/>
      <c r="GI113" s="151"/>
      <c r="GJ113" s="151"/>
      <c r="GK113" s="151"/>
      <c r="GL113" s="151"/>
      <c r="GM113" s="151"/>
      <c r="GN113" s="151"/>
      <c r="GO113" s="151"/>
      <c r="GP113" s="151"/>
      <c r="GQ113" s="151"/>
      <c r="GR113" s="151"/>
      <c r="GS113" s="151"/>
      <c r="GT113" s="151"/>
      <c r="GU113" s="151"/>
      <c r="GV113" s="151"/>
      <c r="GW113" s="151"/>
      <c r="GX113" s="151"/>
      <c r="GY113" s="151"/>
      <c r="GZ113" s="151"/>
      <c r="HA113" s="151"/>
      <c r="HB113" s="151"/>
      <c r="HC113" s="151"/>
      <c r="HD113" s="151"/>
      <c r="HE113" s="151"/>
      <c r="HF113" s="151"/>
      <c r="HG113" s="151"/>
      <c r="HH113" s="151"/>
      <c r="HI113" s="151"/>
      <c r="HJ113" s="151"/>
      <c r="HK113" s="151"/>
      <c r="HL113" s="151"/>
      <c r="HM113" s="151"/>
      <c r="HN113" s="151"/>
      <c r="HO113" s="151"/>
      <c r="HP113" s="151"/>
      <c r="HQ113" s="151"/>
      <c r="HR113" s="151"/>
      <c r="HS113" s="151"/>
      <c r="HT113" s="151"/>
      <c r="HU113" s="151"/>
      <c r="HV113" s="151"/>
      <c r="HW113" s="151"/>
      <c r="HX113" s="151"/>
      <c r="HY113" s="151"/>
      <c r="HZ113" s="151"/>
    </row>
    <row r="114" spans="1:234" ht="12.75" customHeight="1">
      <c r="A114" s="1106"/>
      <c r="B114" s="198" t="s">
        <v>1027</v>
      </c>
      <c r="C114" s="1114" t="s">
        <v>1028</v>
      </c>
      <c r="D114" s="1114"/>
      <c r="E114" s="1114"/>
      <c r="F114" s="189" t="s">
        <v>886</v>
      </c>
      <c r="G114" s="190"/>
      <c r="H114" s="191"/>
      <c r="I114" s="314" t="e">
        <f>'Dados - Composição PCFP'!#REF!</f>
        <v>#REF!</v>
      </c>
      <c r="J114" s="1109"/>
      <c r="K114" s="1111"/>
      <c r="L114" s="1111"/>
      <c r="M114" s="1111"/>
      <c r="N114" s="1111"/>
    </row>
    <row r="115" spans="1:234" ht="12.75" customHeight="1">
      <c r="A115" s="1106"/>
      <c r="B115" s="177"/>
      <c r="C115" s="178"/>
      <c r="D115" s="178"/>
      <c r="E115" s="176"/>
      <c r="F115" s="189" t="s">
        <v>1026</v>
      </c>
      <c r="G115" s="1115"/>
      <c r="H115" s="1116"/>
      <c r="I115" s="315"/>
      <c r="J115" s="1109"/>
      <c r="K115" s="1111"/>
      <c r="L115" s="1111"/>
      <c r="M115" s="1111"/>
      <c r="N115" s="1111"/>
      <c r="O115" s="150"/>
      <c r="P115" s="150"/>
      <c r="Q115" s="150"/>
      <c r="R115" s="150"/>
      <c r="S115" s="150"/>
      <c r="T115" s="150"/>
      <c r="U115" s="150"/>
      <c r="V115" s="150"/>
      <c r="W115" s="150"/>
      <c r="X115" s="150"/>
      <c r="Y115" s="150"/>
      <c r="Z115" s="150"/>
      <c r="AA115" s="150"/>
      <c r="AB115" s="150"/>
      <c r="AC115" s="150"/>
      <c r="AD115" s="150"/>
      <c r="AE115" s="150"/>
      <c r="AF115" s="150"/>
      <c r="AG115" s="150"/>
      <c r="AH115" s="150"/>
      <c r="AI115" s="150"/>
      <c r="AJ115" s="150"/>
      <c r="AK115" s="150"/>
      <c r="AL115" s="150"/>
      <c r="AM115" s="150"/>
      <c r="AN115" s="150"/>
      <c r="AO115" s="150"/>
      <c r="AP115" s="150"/>
      <c r="AQ115" s="150"/>
      <c r="AR115" s="150"/>
      <c r="AS115" s="150"/>
      <c r="AT115" s="150"/>
      <c r="AU115" s="150"/>
      <c r="AV115" s="150"/>
      <c r="AW115" s="150"/>
      <c r="AX115" s="150"/>
      <c r="AY115" s="150"/>
      <c r="AZ115" s="150"/>
      <c r="BA115" s="150"/>
      <c r="BB115" s="150"/>
      <c r="BC115" s="150"/>
      <c r="BD115" s="150"/>
      <c r="BE115" s="150"/>
      <c r="BF115" s="150"/>
      <c r="BG115" s="150"/>
      <c r="BH115" s="150"/>
      <c r="BI115" s="150"/>
      <c r="BJ115" s="150"/>
      <c r="BK115" s="150"/>
      <c r="BL115" s="150"/>
      <c r="BM115" s="150"/>
      <c r="BN115" s="150"/>
      <c r="BO115" s="150"/>
      <c r="BP115" s="150"/>
      <c r="BQ115" s="150"/>
      <c r="BR115" s="150"/>
      <c r="BS115" s="150"/>
      <c r="BT115" s="150"/>
      <c r="BU115" s="150"/>
      <c r="BV115" s="150"/>
      <c r="BW115" s="150"/>
      <c r="BX115" s="150"/>
      <c r="BY115" s="150"/>
      <c r="BZ115" s="150"/>
      <c r="CA115" s="150"/>
      <c r="CB115" s="150"/>
      <c r="CC115" s="150"/>
      <c r="CD115" s="150"/>
      <c r="CE115" s="150"/>
      <c r="CF115" s="150"/>
      <c r="CG115" s="151"/>
      <c r="CH115" s="151"/>
      <c r="CI115" s="151"/>
      <c r="CJ115" s="151"/>
      <c r="CK115" s="151"/>
      <c r="CL115" s="151"/>
      <c r="CM115" s="151"/>
      <c r="CN115" s="151"/>
      <c r="CO115" s="151"/>
      <c r="CP115" s="151"/>
      <c r="CQ115" s="151"/>
      <c r="CR115" s="151"/>
      <c r="CS115" s="151"/>
      <c r="CT115" s="151"/>
      <c r="CU115" s="151"/>
      <c r="CV115" s="151"/>
      <c r="CW115" s="151"/>
      <c r="CX115" s="151"/>
      <c r="CY115" s="151"/>
      <c r="CZ115" s="151"/>
      <c r="DA115" s="151"/>
      <c r="DB115" s="151"/>
      <c r="DC115" s="151"/>
      <c r="DD115" s="151"/>
      <c r="DE115" s="151"/>
      <c r="DF115" s="151"/>
      <c r="DG115" s="151"/>
      <c r="DH115" s="151"/>
      <c r="DI115" s="151"/>
      <c r="DJ115" s="151"/>
      <c r="DK115" s="151"/>
      <c r="DL115" s="151"/>
      <c r="DM115" s="151"/>
      <c r="DN115" s="151"/>
      <c r="DO115" s="151"/>
      <c r="DP115" s="151"/>
      <c r="DQ115" s="151"/>
      <c r="DR115" s="151"/>
      <c r="DS115" s="151"/>
      <c r="DT115" s="151"/>
      <c r="DU115" s="151"/>
      <c r="DV115" s="151"/>
      <c r="DW115" s="151"/>
      <c r="DX115" s="151"/>
      <c r="DY115" s="151"/>
      <c r="DZ115" s="151"/>
      <c r="EA115" s="151"/>
      <c r="EB115" s="151"/>
      <c r="EC115" s="151"/>
      <c r="ED115" s="151"/>
      <c r="EE115" s="151"/>
      <c r="EF115" s="151"/>
      <c r="EG115" s="151"/>
      <c r="EH115" s="151"/>
      <c r="EI115" s="151"/>
      <c r="EJ115" s="151"/>
      <c r="EK115" s="151"/>
      <c r="EL115" s="151"/>
      <c r="EM115" s="151"/>
      <c r="EN115" s="151"/>
      <c r="EO115" s="151"/>
      <c r="EP115" s="151"/>
      <c r="EQ115" s="151"/>
      <c r="ER115" s="151"/>
      <c r="ES115" s="151"/>
      <c r="ET115" s="151"/>
      <c r="EU115" s="151"/>
      <c r="EV115" s="151"/>
      <c r="EW115" s="151"/>
      <c r="EX115" s="151"/>
      <c r="EY115" s="151"/>
      <c r="EZ115" s="151"/>
      <c r="FA115" s="151"/>
      <c r="FB115" s="151"/>
      <c r="FC115" s="151"/>
      <c r="FD115" s="151"/>
      <c r="FE115" s="151"/>
      <c r="FF115" s="151"/>
      <c r="FG115" s="151"/>
      <c r="FH115" s="151"/>
      <c r="FI115" s="151"/>
      <c r="FJ115" s="151"/>
      <c r="FK115" s="151"/>
      <c r="FL115" s="151"/>
      <c r="FM115" s="151"/>
      <c r="FN115" s="151"/>
      <c r="FO115" s="151"/>
      <c r="FP115" s="151"/>
      <c r="FQ115" s="151"/>
      <c r="FR115" s="151"/>
      <c r="FS115" s="151"/>
      <c r="FT115" s="151"/>
      <c r="FU115" s="151"/>
      <c r="FV115" s="151"/>
      <c r="FW115" s="151"/>
      <c r="FX115" s="151"/>
      <c r="FY115" s="151"/>
      <c r="FZ115" s="151"/>
      <c r="GA115" s="151"/>
      <c r="GB115" s="151"/>
      <c r="GC115" s="151"/>
      <c r="GD115" s="151"/>
      <c r="GE115" s="151"/>
      <c r="GF115" s="151"/>
      <c r="GG115" s="151"/>
      <c r="GH115" s="151"/>
      <c r="GI115" s="151"/>
      <c r="GJ115" s="151"/>
      <c r="GK115" s="151"/>
      <c r="GL115" s="151"/>
      <c r="GM115" s="151"/>
      <c r="GN115" s="151"/>
      <c r="GO115" s="151"/>
      <c r="GP115" s="151"/>
      <c r="GQ115" s="151"/>
      <c r="GR115" s="151"/>
      <c r="GS115" s="151"/>
      <c r="GT115" s="151"/>
      <c r="GU115" s="151"/>
      <c r="GV115" s="151"/>
      <c r="GW115" s="151"/>
      <c r="GX115" s="151"/>
      <c r="GY115" s="151"/>
      <c r="GZ115" s="151"/>
      <c r="HA115" s="151"/>
      <c r="HB115" s="151"/>
      <c r="HC115" s="151"/>
      <c r="HD115" s="151"/>
      <c r="HE115" s="151"/>
      <c r="HF115" s="151"/>
      <c r="HG115" s="151"/>
      <c r="HH115" s="151"/>
      <c r="HI115" s="151"/>
      <c r="HJ115" s="151"/>
      <c r="HK115" s="151"/>
      <c r="HL115" s="151"/>
      <c r="HM115" s="151"/>
      <c r="HN115" s="151"/>
      <c r="HO115" s="151"/>
      <c r="HP115" s="151"/>
      <c r="HQ115" s="151"/>
      <c r="HR115" s="151"/>
      <c r="HS115" s="151"/>
      <c r="HT115" s="151"/>
      <c r="HU115" s="151"/>
      <c r="HV115" s="151"/>
      <c r="HW115" s="151"/>
      <c r="HX115" s="151"/>
      <c r="HY115" s="151"/>
      <c r="HZ115" s="151"/>
    </row>
    <row r="116" spans="1:234" ht="12.75" customHeight="1">
      <c r="A116" s="1107"/>
      <c r="B116" s="198" t="s">
        <v>1029</v>
      </c>
      <c r="C116" s="1114" t="s">
        <v>1030</v>
      </c>
      <c r="D116" s="1114"/>
      <c r="E116" s="1114"/>
      <c r="F116" s="177"/>
      <c r="G116" s="1115"/>
      <c r="H116" s="1116"/>
      <c r="I116" s="316" t="e">
        <f>'Dados - Composição PCFP'!#REF!</f>
        <v>#REF!</v>
      </c>
      <c r="J116" s="1110"/>
      <c r="K116" s="1111"/>
      <c r="L116" s="1111"/>
      <c r="M116" s="1111"/>
      <c r="N116" s="1111"/>
      <c r="O116" s="150"/>
      <c r="P116" s="150"/>
      <c r="Q116" s="150"/>
      <c r="R116" s="150"/>
      <c r="S116" s="150"/>
      <c r="T116" s="150"/>
      <c r="U116" s="150"/>
      <c r="V116" s="150"/>
      <c r="W116" s="150"/>
      <c r="X116" s="150"/>
      <c r="Y116" s="150"/>
      <c r="Z116" s="150"/>
      <c r="AA116" s="150"/>
      <c r="AB116" s="150"/>
      <c r="AC116" s="150"/>
      <c r="AD116" s="150"/>
      <c r="AE116" s="150"/>
      <c r="AF116" s="150"/>
      <c r="AG116" s="150"/>
      <c r="AH116" s="150"/>
      <c r="AI116" s="150"/>
      <c r="AJ116" s="150"/>
      <c r="AK116" s="150"/>
      <c r="AL116" s="150"/>
      <c r="AM116" s="150"/>
      <c r="AN116" s="150"/>
      <c r="AO116" s="150"/>
      <c r="AP116" s="150"/>
      <c r="AQ116" s="150"/>
      <c r="AR116" s="150"/>
      <c r="AS116" s="150"/>
      <c r="AT116" s="150"/>
      <c r="AU116" s="150"/>
      <c r="AV116" s="150"/>
      <c r="AW116" s="150"/>
      <c r="AX116" s="150"/>
      <c r="AY116" s="150"/>
      <c r="AZ116" s="150"/>
      <c r="BA116" s="150"/>
      <c r="BB116" s="150"/>
      <c r="BC116" s="150"/>
      <c r="BD116" s="150"/>
      <c r="BE116" s="150"/>
      <c r="BF116" s="150"/>
      <c r="BG116" s="150"/>
      <c r="BH116" s="150"/>
      <c r="BI116" s="150"/>
      <c r="BJ116" s="150"/>
      <c r="BK116" s="150"/>
      <c r="BL116" s="150"/>
      <c r="BM116" s="150"/>
      <c r="BN116" s="150"/>
      <c r="BO116" s="150"/>
      <c r="BP116" s="150"/>
      <c r="BQ116" s="150"/>
      <c r="BR116" s="150"/>
      <c r="BS116" s="150"/>
      <c r="BT116" s="150"/>
      <c r="BU116" s="150"/>
      <c r="BV116" s="150"/>
      <c r="BW116" s="150"/>
      <c r="BX116" s="150"/>
      <c r="BY116" s="150"/>
      <c r="BZ116" s="150"/>
      <c r="CA116" s="150"/>
      <c r="CB116" s="150"/>
      <c r="CC116" s="150"/>
      <c r="CD116" s="150"/>
      <c r="CE116" s="150"/>
      <c r="CF116" s="150"/>
      <c r="CG116" s="151"/>
      <c r="CH116" s="151"/>
      <c r="CI116" s="151"/>
      <c r="CJ116" s="151"/>
      <c r="CK116" s="151"/>
      <c r="CL116" s="151"/>
      <c r="CM116" s="151"/>
      <c r="CN116" s="151"/>
      <c r="CO116" s="151"/>
      <c r="CP116" s="151"/>
      <c r="CQ116" s="151"/>
      <c r="CR116" s="151"/>
      <c r="CS116" s="151"/>
      <c r="CT116" s="151"/>
      <c r="CU116" s="151"/>
      <c r="CV116" s="151"/>
      <c r="CW116" s="151"/>
      <c r="CX116" s="151"/>
      <c r="CY116" s="151"/>
      <c r="CZ116" s="151"/>
      <c r="DA116" s="151"/>
      <c r="DB116" s="151"/>
      <c r="DC116" s="151"/>
      <c r="DD116" s="151"/>
      <c r="DE116" s="151"/>
      <c r="DF116" s="151"/>
      <c r="DG116" s="151"/>
      <c r="DH116" s="151"/>
      <c r="DI116" s="151"/>
      <c r="DJ116" s="151"/>
      <c r="DK116" s="151"/>
      <c r="DL116" s="151"/>
      <c r="DM116" s="151"/>
      <c r="DN116" s="151"/>
      <c r="DO116" s="151"/>
      <c r="DP116" s="151"/>
      <c r="DQ116" s="151"/>
      <c r="DR116" s="151"/>
      <c r="DS116" s="151"/>
      <c r="DT116" s="151"/>
      <c r="DU116" s="151"/>
      <c r="DV116" s="151"/>
      <c r="DW116" s="151"/>
      <c r="DX116" s="151"/>
      <c r="DY116" s="151"/>
      <c r="DZ116" s="151"/>
      <c r="EA116" s="151"/>
      <c r="EB116" s="151"/>
      <c r="EC116" s="151"/>
      <c r="ED116" s="151"/>
      <c r="EE116" s="151"/>
      <c r="EF116" s="151"/>
      <c r="EG116" s="151"/>
      <c r="EH116" s="151"/>
      <c r="EI116" s="151"/>
      <c r="EJ116" s="151"/>
      <c r="EK116" s="151"/>
      <c r="EL116" s="151"/>
      <c r="EM116" s="151"/>
      <c r="EN116" s="151"/>
      <c r="EO116" s="151"/>
      <c r="EP116" s="151"/>
      <c r="EQ116" s="151"/>
      <c r="ER116" s="151"/>
      <c r="ES116" s="151"/>
      <c r="ET116" s="151"/>
      <c r="EU116" s="151"/>
      <c r="EV116" s="151"/>
      <c r="EW116" s="151"/>
      <c r="EX116" s="151"/>
      <c r="EY116" s="151"/>
      <c r="EZ116" s="151"/>
      <c r="FA116" s="151"/>
      <c r="FB116" s="151"/>
      <c r="FC116" s="151"/>
      <c r="FD116" s="151"/>
      <c r="FE116" s="151"/>
      <c r="FF116" s="151"/>
      <c r="FG116" s="151"/>
      <c r="FH116" s="151"/>
      <c r="FI116" s="151"/>
      <c r="FJ116" s="151"/>
      <c r="FK116" s="151"/>
      <c r="FL116" s="151"/>
      <c r="FM116" s="151"/>
      <c r="FN116" s="151"/>
      <c r="FO116" s="151"/>
      <c r="FP116" s="151"/>
      <c r="FQ116" s="151"/>
      <c r="FR116" s="151"/>
      <c r="FS116" s="151"/>
      <c r="FT116" s="151"/>
      <c r="FU116" s="151"/>
      <c r="FV116" s="151"/>
      <c r="FW116" s="151"/>
      <c r="FX116" s="151"/>
      <c r="FY116" s="151"/>
      <c r="FZ116" s="151"/>
      <c r="GA116" s="151"/>
      <c r="GB116" s="151"/>
      <c r="GC116" s="151"/>
      <c r="GD116" s="151"/>
      <c r="GE116" s="151"/>
      <c r="GF116" s="151"/>
      <c r="GG116" s="151"/>
      <c r="GH116" s="151"/>
      <c r="GI116" s="151"/>
      <c r="GJ116" s="151"/>
      <c r="GK116" s="151"/>
      <c r="GL116" s="151"/>
      <c r="GM116" s="151"/>
      <c r="GN116" s="151"/>
      <c r="GO116" s="151"/>
      <c r="GP116" s="151"/>
      <c r="GQ116" s="151"/>
      <c r="GR116" s="151"/>
      <c r="GS116" s="151"/>
      <c r="GT116" s="151"/>
      <c r="GU116" s="151"/>
      <c r="GV116" s="151"/>
      <c r="GW116" s="151"/>
      <c r="GX116" s="151"/>
      <c r="GY116" s="151"/>
      <c r="GZ116" s="151"/>
      <c r="HA116" s="151"/>
      <c r="HB116" s="151"/>
      <c r="HC116" s="151"/>
      <c r="HD116" s="151"/>
      <c r="HE116" s="151"/>
      <c r="HF116" s="151"/>
      <c r="HG116" s="151"/>
      <c r="HH116" s="151"/>
      <c r="HI116" s="151"/>
      <c r="HJ116" s="151"/>
      <c r="HK116" s="151"/>
      <c r="HL116" s="151"/>
      <c r="HM116" s="151"/>
      <c r="HN116" s="151"/>
      <c r="HO116" s="151"/>
      <c r="HP116" s="151"/>
      <c r="HQ116" s="151"/>
      <c r="HR116" s="151"/>
      <c r="HS116" s="151"/>
      <c r="HT116" s="151"/>
      <c r="HU116" s="151"/>
      <c r="HV116" s="151"/>
      <c r="HW116" s="151"/>
      <c r="HX116" s="151"/>
      <c r="HY116" s="151"/>
      <c r="HZ116" s="151"/>
    </row>
    <row r="117" spans="1:234" ht="15" customHeight="1">
      <c r="A117" s="214" t="s">
        <v>175</v>
      </c>
      <c r="B117" s="349"/>
      <c r="C117" s="349"/>
      <c r="D117" s="349"/>
      <c r="E117" s="349"/>
      <c r="F117" s="137"/>
      <c r="G117" s="127"/>
      <c r="H117" s="127"/>
      <c r="I117" s="141"/>
      <c r="J117" s="205"/>
      <c r="K117" s="203" t="e">
        <f>SUM(K108:K116)</f>
        <v>#REF!</v>
      </c>
      <c r="L117" s="203" t="e">
        <f>SUM(L108:L116)</f>
        <v>#REF!</v>
      </c>
      <c r="M117" s="203" t="e">
        <f>SUM(M108:M116)</f>
        <v>#REF!</v>
      </c>
      <c r="N117" s="203" t="e">
        <f>SUM(N108:N116)</f>
        <v>#REF!</v>
      </c>
      <c r="O117" s="150"/>
      <c r="P117" s="150"/>
      <c r="Q117" s="150"/>
      <c r="R117" s="150"/>
      <c r="S117" s="150"/>
      <c r="T117" s="150"/>
      <c r="U117" s="150"/>
      <c r="V117" s="150"/>
      <c r="W117" s="150"/>
      <c r="X117" s="150"/>
      <c r="Y117" s="150"/>
      <c r="Z117" s="150"/>
      <c r="AA117" s="150"/>
      <c r="AB117" s="150"/>
      <c r="AC117" s="150"/>
      <c r="AD117" s="150"/>
      <c r="AE117" s="150"/>
      <c r="AF117" s="150"/>
      <c r="AG117" s="150"/>
      <c r="AH117" s="150"/>
      <c r="AI117" s="150"/>
      <c r="AJ117" s="150"/>
      <c r="AK117" s="150"/>
      <c r="AL117" s="150"/>
      <c r="AM117" s="150"/>
      <c r="AN117" s="150"/>
      <c r="AO117" s="150"/>
      <c r="AP117" s="150"/>
      <c r="AQ117" s="150"/>
      <c r="AR117" s="150"/>
      <c r="AS117" s="150"/>
      <c r="AT117" s="150"/>
      <c r="AU117" s="150"/>
      <c r="AV117" s="150"/>
      <c r="AW117" s="150"/>
      <c r="AX117" s="150"/>
      <c r="AY117" s="150"/>
      <c r="AZ117" s="150"/>
      <c r="BA117" s="150"/>
      <c r="BB117" s="150"/>
      <c r="BC117" s="150"/>
      <c r="BD117" s="150"/>
      <c r="BE117" s="150"/>
      <c r="BF117" s="150"/>
      <c r="BG117" s="150"/>
      <c r="BH117" s="150"/>
      <c r="BI117" s="150"/>
      <c r="BJ117" s="150"/>
      <c r="BK117" s="150"/>
      <c r="BL117" s="150"/>
      <c r="BM117" s="150"/>
      <c r="BN117" s="150"/>
      <c r="BO117" s="150"/>
      <c r="BP117" s="150"/>
      <c r="BQ117" s="150"/>
      <c r="BR117" s="150"/>
      <c r="BS117" s="150"/>
      <c r="BT117" s="150"/>
      <c r="BU117" s="150"/>
      <c r="BV117" s="150"/>
      <c r="BW117" s="150"/>
      <c r="BX117" s="150"/>
      <c r="BY117" s="150"/>
      <c r="BZ117" s="150"/>
      <c r="CA117" s="150"/>
      <c r="CB117" s="150"/>
      <c r="CC117" s="150"/>
      <c r="CD117" s="150"/>
      <c r="CE117" s="150"/>
      <c r="CF117" s="150"/>
      <c r="CG117" s="151"/>
      <c r="CH117" s="151"/>
      <c r="CI117" s="151"/>
      <c r="CJ117" s="151"/>
      <c r="CK117" s="151"/>
      <c r="CL117" s="151"/>
      <c r="CM117" s="151"/>
      <c r="CN117" s="151"/>
      <c r="CO117" s="151"/>
      <c r="CP117" s="151"/>
      <c r="CQ117" s="151"/>
      <c r="CR117" s="151"/>
      <c r="CS117" s="151"/>
      <c r="CT117" s="151"/>
      <c r="CU117" s="151"/>
      <c r="CV117" s="151"/>
      <c r="CW117" s="151"/>
      <c r="CX117" s="151"/>
      <c r="CY117" s="151"/>
      <c r="CZ117" s="151"/>
      <c r="DA117" s="151"/>
      <c r="DB117" s="151"/>
      <c r="DC117" s="151"/>
      <c r="DD117" s="151"/>
      <c r="DE117" s="151"/>
      <c r="DF117" s="151"/>
      <c r="DG117" s="151"/>
      <c r="DH117" s="151"/>
      <c r="DI117" s="151"/>
      <c r="DJ117" s="151"/>
      <c r="DK117" s="151"/>
      <c r="DL117" s="151"/>
      <c r="DM117" s="151"/>
      <c r="DN117" s="151"/>
      <c r="DO117" s="151"/>
      <c r="DP117" s="151"/>
      <c r="DQ117" s="151"/>
      <c r="DR117" s="151"/>
      <c r="DS117" s="151"/>
      <c r="DT117" s="151"/>
      <c r="DU117" s="151"/>
      <c r="DV117" s="151"/>
      <c r="DW117" s="151"/>
      <c r="DX117" s="151"/>
      <c r="DY117" s="151"/>
      <c r="DZ117" s="151"/>
      <c r="EA117" s="151"/>
      <c r="EB117" s="151"/>
      <c r="EC117" s="151"/>
      <c r="ED117" s="151"/>
      <c r="EE117" s="151"/>
      <c r="EF117" s="151"/>
      <c r="EG117" s="151"/>
      <c r="EH117" s="151"/>
      <c r="EI117" s="151"/>
      <c r="EJ117" s="151"/>
      <c r="EK117" s="151"/>
      <c r="EL117" s="151"/>
      <c r="EM117" s="151"/>
      <c r="EN117" s="151"/>
      <c r="EO117" s="151"/>
      <c r="EP117" s="151"/>
      <c r="EQ117" s="151"/>
      <c r="ER117" s="151"/>
      <c r="ES117" s="151"/>
      <c r="ET117" s="151"/>
      <c r="EU117" s="151"/>
      <c r="EV117" s="151"/>
      <c r="EW117" s="151"/>
      <c r="EX117" s="151"/>
      <c r="EY117" s="151"/>
      <c r="EZ117" s="151"/>
      <c r="FA117" s="151"/>
      <c r="FB117" s="151"/>
      <c r="FC117" s="151"/>
      <c r="FD117" s="151"/>
      <c r="FE117" s="151"/>
      <c r="FF117" s="151"/>
      <c r="FG117" s="151"/>
      <c r="FH117" s="151"/>
      <c r="FI117" s="151"/>
      <c r="FJ117" s="151"/>
      <c r="FK117" s="151"/>
      <c r="FL117" s="151"/>
      <c r="FM117" s="151"/>
      <c r="FN117" s="151"/>
      <c r="FO117" s="151"/>
      <c r="FP117" s="151"/>
      <c r="FQ117" s="151"/>
      <c r="FR117" s="151"/>
      <c r="FS117" s="151"/>
      <c r="FT117" s="151"/>
      <c r="FU117" s="151"/>
      <c r="FV117" s="151"/>
      <c r="FW117" s="151"/>
      <c r="FX117" s="151"/>
      <c r="FY117" s="151"/>
      <c r="FZ117" s="151"/>
      <c r="GA117" s="151"/>
      <c r="GB117" s="151"/>
      <c r="GC117" s="151"/>
      <c r="GD117" s="151"/>
      <c r="GE117" s="151"/>
      <c r="GF117" s="151"/>
      <c r="GG117" s="151"/>
      <c r="GH117" s="151"/>
      <c r="GI117" s="151"/>
      <c r="GJ117" s="151"/>
      <c r="GK117" s="151"/>
      <c r="GL117" s="151"/>
      <c r="GM117" s="151"/>
      <c r="GN117" s="151"/>
      <c r="GO117" s="151"/>
      <c r="GP117" s="151"/>
      <c r="GQ117" s="151"/>
      <c r="GR117" s="151"/>
      <c r="GS117" s="151"/>
      <c r="GT117" s="151"/>
      <c r="GU117" s="151"/>
      <c r="GV117" s="151"/>
      <c r="GW117" s="151"/>
      <c r="GX117" s="151"/>
      <c r="GY117" s="151"/>
      <c r="GZ117" s="151"/>
      <c r="HA117" s="151"/>
      <c r="HB117" s="151"/>
      <c r="HC117" s="151"/>
      <c r="HD117" s="151"/>
      <c r="HE117" s="151"/>
      <c r="HF117" s="151"/>
      <c r="HG117" s="151"/>
      <c r="HH117" s="151"/>
      <c r="HI117" s="151"/>
      <c r="HJ117" s="151"/>
      <c r="HK117" s="151"/>
      <c r="HL117" s="151"/>
      <c r="HM117" s="151"/>
      <c r="HN117" s="151"/>
      <c r="HO117" s="151"/>
      <c r="HP117" s="151"/>
      <c r="HQ117" s="151"/>
      <c r="HR117" s="151"/>
      <c r="HS117" s="151"/>
      <c r="HT117" s="151"/>
      <c r="HU117" s="151"/>
      <c r="HV117" s="151"/>
      <c r="HW117" s="151"/>
      <c r="HX117" s="151"/>
      <c r="HY117" s="151"/>
      <c r="HZ117" s="151"/>
    </row>
    <row r="118" spans="1:234" ht="23.25" customHeight="1">
      <c r="A118" s="206" t="s">
        <v>888</v>
      </c>
      <c r="B118" s="207"/>
      <c r="C118" s="207"/>
      <c r="D118" s="207"/>
      <c r="E118" s="207"/>
      <c r="F118" s="207"/>
      <c r="G118" s="207"/>
      <c r="H118" s="207"/>
      <c r="I118" s="207"/>
      <c r="J118" s="208"/>
      <c r="K118" s="318" t="s">
        <v>983</v>
      </c>
      <c r="L118" s="318" t="s">
        <v>984</v>
      </c>
      <c r="M118" s="318" t="s">
        <v>983</v>
      </c>
      <c r="N118" s="318" t="s">
        <v>984</v>
      </c>
    </row>
    <row r="119" spans="1:234" ht="15" customHeight="1">
      <c r="A119" s="189" t="s">
        <v>829</v>
      </c>
      <c r="B119" s="178"/>
      <c r="C119" s="178"/>
      <c r="D119" s="178"/>
      <c r="E119" s="178"/>
      <c r="F119" s="178"/>
      <c r="G119" s="178"/>
      <c r="H119" s="178"/>
      <c r="I119" s="178"/>
      <c r="J119" s="209"/>
      <c r="K119" s="183" t="e">
        <f>K17</f>
        <v>#REF!</v>
      </c>
      <c r="L119" s="183" t="e">
        <f>L17</f>
        <v>#REF!</v>
      </c>
      <c r="M119" s="183" t="e">
        <f>M17</f>
        <v>#REF!</v>
      </c>
      <c r="N119" s="183" t="e">
        <f>N17</f>
        <v>#REF!</v>
      </c>
      <c r="O119" s="150"/>
      <c r="P119" s="150"/>
      <c r="Q119" s="150"/>
      <c r="R119" s="150"/>
      <c r="S119" s="150"/>
      <c r="T119" s="150"/>
      <c r="U119" s="150"/>
      <c r="V119" s="150"/>
      <c r="W119" s="150"/>
      <c r="X119" s="150"/>
      <c r="Y119" s="150"/>
      <c r="Z119" s="150"/>
      <c r="AA119" s="150"/>
      <c r="AB119" s="150"/>
      <c r="AC119" s="150"/>
      <c r="AD119" s="150"/>
      <c r="AE119" s="150"/>
      <c r="AF119" s="150"/>
      <c r="AG119" s="150"/>
      <c r="AH119" s="150"/>
      <c r="AI119" s="150"/>
      <c r="AJ119" s="150"/>
      <c r="AK119" s="150"/>
      <c r="AL119" s="150"/>
      <c r="AM119" s="150"/>
      <c r="AN119" s="150"/>
      <c r="AO119" s="150"/>
      <c r="AP119" s="150"/>
      <c r="AQ119" s="150"/>
      <c r="AR119" s="150"/>
      <c r="AS119" s="150"/>
      <c r="AT119" s="150"/>
      <c r="AU119" s="150"/>
      <c r="AV119" s="150"/>
      <c r="AW119" s="150"/>
      <c r="AX119" s="150"/>
      <c r="AY119" s="150"/>
      <c r="AZ119" s="150"/>
      <c r="BA119" s="150"/>
      <c r="BB119" s="150"/>
      <c r="BC119" s="150"/>
      <c r="BD119" s="150"/>
      <c r="BE119" s="150"/>
      <c r="BF119" s="150"/>
      <c r="BG119" s="150"/>
      <c r="BH119" s="150"/>
      <c r="BI119" s="150"/>
      <c r="BJ119" s="150"/>
      <c r="BK119" s="150"/>
      <c r="BL119" s="150"/>
      <c r="BM119" s="150"/>
      <c r="BN119" s="150"/>
      <c r="BO119" s="150"/>
      <c r="BP119" s="150"/>
      <c r="BQ119" s="150"/>
      <c r="BR119" s="150"/>
      <c r="BS119" s="150"/>
      <c r="BT119" s="150"/>
      <c r="BU119" s="150"/>
      <c r="BV119" s="150"/>
      <c r="BW119" s="150"/>
      <c r="BX119" s="150"/>
      <c r="BY119" s="150"/>
      <c r="BZ119" s="150"/>
      <c r="CA119" s="150"/>
      <c r="CB119" s="150"/>
      <c r="CC119" s="150"/>
      <c r="CD119" s="150"/>
      <c r="CE119" s="150"/>
      <c r="CF119" s="150"/>
      <c r="CG119" s="151"/>
      <c r="CH119" s="151"/>
      <c r="CI119" s="151"/>
      <c r="CJ119" s="151"/>
      <c r="CK119" s="151"/>
      <c r="CL119" s="151"/>
      <c r="CM119" s="151"/>
      <c r="CN119" s="151"/>
      <c r="CO119" s="151"/>
      <c r="CP119" s="151"/>
      <c r="CQ119" s="151"/>
      <c r="CR119" s="151"/>
      <c r="CS119" s="151"/>
      <c r="CT119" s="151"/>
      <c r="CU119" s="151"/>
      <c r="CV119" s="151"/>
      <c r="CW119" s="151"/>
      <c r="CX119" s="151"/>
      <c r="CY119" s="151"/>
      <c r="CZ119" s="151"/>
      <c r="DA119" s="151"/>
      <c r="DB119" s="151"/>
      <c r="DC119" s="151"/>
      <c r="DD119" s="151"/>
      <c r="DE119" s="151"/>
      <c r="DF119" s="151"/>
      <c r="DG119" s="151"/>
      <c r="DH119" s="151"/>
      <c r="DI119" s="151"/>
      <c r="DJ119" s="151"/>
      <c r="DK119" s="151"/>
      <c r="DL119" s="151"/>
      <c r="DM119" s="151"/>
      <c r="DN119" s="151"/>
      <c r="DO119" s="151"/>
      <c r="DP119" s="151"/>
      <c r="DQ119" s="151"/>
      <c r="DR119" s="151"/>
      <c r="DS119" s="151"/>
      <c r="DT119" s="151"/>
      <c r="DU119" s="151"/>
      <c r="DV119" s="151"/>
      <c r="DW119" s="151"/>
      <c r="DX119" s="151"/>
      <c r="DY119" s="151"/>
      <c r="DZ119" s="151"/>
      <c r="EA119" s="151"/>
      <c r="EB119" s="151"/>
      <c r="EC119" s="151"/>
      <c r="ED119" s="151"/>
      <c r="EE119" s="151"/>
      <c r="EF119" s="151"/>
      <c r="EG119" s="151"/>
      <c r="EH119" s="151"/>
      <c r="EI119" s="151"/>
      <c r="EJ119" s="151"/>
      <c r="EK119" s="151"/>
      <c r="EL119" s="151"/>
      <c r="EM119" s="151"/>
      <c r="EN119" s="151"/>
      <c r="EO119" s="151"/>
      <c r="EP119" s="151"/>
      <c r="EQ119" s="151"/>
      <c r="ER119" s="151"/>
      <c r="ES119" s="151"/>
      <c r="ET119" s="151"/>
      <c r="EU119" s="151"/>
      <c r="EV119" s="151"/>
      <c r="EW119" s="151"/>
      <c r="EX119" s="151"/>
      <c r="EY119" s="151"/>
      <c r="EZ119" s="151"/>
      <c r="FA119" s="151"/>
      <c r="FB119" s="151"/>
      <c r="FC119" s="151"/>
      <c r="FD119" s="151"/>
      <c r="FE119" s="151"/>
      <c r="FF119" s="151"/>
      <c r="FG119" s="151"/>
      <c r="FH119" s="151"/>
      <c r="FI119" s="151"/>
      <c r="FJ119" s="151"/>
      <c r="FK119" s="151"/>
      <c r="FL119" s="151"/>
      <c r="FM119" s="151"/>
      <c r="FN119" s="151"/>
      <c r="FO119" s="151"/>
      <c r="FP119" s="151"/>
      <c r="FQ119" s="151"/>
      <c r="FR119" s="151"/>
      <c r="FS119" s="151"/>
      <c r="FT119" s="151"/>
      <c r="FU119" s="151"/>
      <c r="FV119" s="151"/>
      <c r="FW119" s="151"/>
      <c r="FX119" s="151"/>
      <c r="FY119" s="151"/>
      <c r="FZ119" s="151"/>
      <c r="GA119" s="151"/>
      <c r="GB119" s="151"/>
      <c r="GC119" s="151"/>
      <c r="GD119" s="151"/>
      <c r="GE119" s="151"/>
      <c r="GF119" s="151"/>
      <c r="GG119" s="151"/>
      <c r="GH119" s="151"/>
      <c r="GI119" s="151"/>
      <c r="GJ119" s="151"/>
      <c r="GK119" s="151"/>
      <c r="GL119" s="151"/>
      <c r="GM119" s="151"/>
      <c r="GN119" s="151"/>
      <c r="GO119" s="151"/>
      <c r="GP119" s="151"/>
      <c r="GQ119" s="151"/>
      <c r="GR119" s="151"/>
      <c r="GS119" s="151"/>
      <c r="GT119" s="151"/>
      <c r="GU119" s="151"/>
      <c r="GV119" s="151"/>
      <c r="GW119" s="151"/>
      <c r="GX119" s="151"/>
      <c r="GY119" s="151"/>
      <c r="GZ119" s="151"/>
      <c r="HA119" s="151"/>
      <c r="HB119" s="151"/>
      <c r="HC119" s="151"/>
      <c r="HD119" s="151"/>
      <c r="HE119" s="151"/>
      <c r="HF119" s="151"/>
      <c r="HG119" s="151"/>
      <c r="HH119" s="151"/>
      <c r="HI119" s="151"/>
      <c r="HJ119" s="151"/>
      <c r="HK119" s="151"/>
      <c r="HL119" s="151"/>
      <c r="HM119" s="151"/>
      <c r="HN119" s="151"/>
      <c r="HO119" s="151"/>
      <c r="HP119" s="151"/>
      <c r="HQ119" s="151"/>
      <c r="HR119" s="151"/>
      <c r="HS119" s="151"/>
      <c r="HT119" s="151"/>
      <c r="HU119" s="151"/>
      <c r="HV119" s="151"/>
      <c r="HW119" s="151"/>
      <c r="HX119" s="151"/>
      <c r="HY119" s="151"/>
      <c r="HZ119" s="151"/>
    </row>
    <row r="120" spans="1:234" ht="15" customHeight="1">
      <c r="A120" s="189" t="s">
        <v>836</v>
      </c>
      <c r="B120" s="178"/>
      <c r="C120" s="178"/>
      <c r="D120" s="178"/>
      <c r="E120" s="178"/>
      <c r="F120" s="178"/>
      <c r="G120" s="178"/>
      <c r="H120" s="178"/>
      <c r="I120" s="178"/>
      <c r="J120" s="209"/>
      <c r="K120" s="183" t="e">
        <f>K54</f>
        <v>#REF!</v>
      </c>
      <c r="L120" s="183" t="e">
        <f>L54</f>
        <v>#REF!</v>
      </c>
      <c r="M120" s="183" t="e">
        <f>M54</f>
        <v>#REF!</v>
      </c>
      <c r="N120" s="183" t="e">
        <f>N54</f>
        <v>#REF!</v>
      </c>
      <c r="O120" s="150"/>
      <c r="P120" s="150"/>
      <c r="Q120" s="150"/>
      <c r="R120" s="150"/>
      <c r="S120" s="150"/>
      <c r="T120" s="150"/>
      <c r="U120" s="150"/>
      <c r="V120" s="150"/>
      <c r="W120" s="150"/>
      <c r="X120" s="150"/>
      <c r="Y120" s="150"/>
      <c r="Z120" s="150"/>
      <c r="AA120" s="150"/>
      <c r="AB120" s="150"/>
      <c r="AC120" s="150"/>
      <c r="AD120" s="150"/>
      <c r="AE120" s="150"/>
      <c r="AF120" s="150"/>
      <c r="AG120" s="150"/>
      <c r="AH120" s="150"/>
      <c r="AI120" s="150"/>
      <c r="AJ120" s="150"/>
      <c r="AK120" s="150"/>
      <c r="AL120" s="150"/>
      <c r="AM120" s="150"/>
      <c r="AN120" s="150"/>
      <c r="AO120" s="150"/>
      <c r="AP120" s="150"/>
      <c r="AQ120" s="150"/>
      <c r="AR120" s="150"/>
      <c r="AS120" s="150"/>
      <c r="AT120" s="150"/>
      <c r="AU120" s="150"/>
      <c r="AV120" s="150"/>
      <c r="AW120" s="150"/>
      <c r="AX120" s="150"/>
      <c r="AY120" s="150"/>
      <c r="AZ120" s="150"/>
      <c r="BA120" s="150"/>
      <c r="BB120" s="150"/>
      <c r="BC120" s="150"/>
      <c r="BD120" s="150"/>
      <c r="BE120" s="150"/>
      <c r="BF120" s="150"/>
      <c r="BG120" s="150"/>
      <c r="BH120" s="150"/>
      <c r="BI120" s="150"/>
      <c r="BJ120" s="150"/>
      <c r="BK120" s="150"/>
      <c r="BL120" s="150"/>
      <c r="BM120" s="150"/>
      <c r="BN120" s="150"/>
      <c r="BO120" s="150"/>
      <c r="BP120" s="150"/>
      <c r="BQ120" s="150"/>
      <c r="BR120" s="150"/>
      <c r="BS120" s="150"/>
      <c r="BT120" s="150"/>
      <c r="BU120" s="150"/>
      <c r="BV120" s="150"/>
      <c r="BW120" s="150"/>
      <c r="BX120" s="150"/>
      <c r="BY120" s="150"/>
      <c r="BZ120" s="150"/>
      <c r="CA120" s="150"/>
      <c r="CB120" s="150"/>
      <c r="CC120" s="150"/>
      <c r="CD120" s="150"/>
      <c r="CE120" s="150"/>
      <c r="CF120" s="150"/>
      <c r="CG120" s="151"/>
      <c r="CH120" s="151"/>
      <c r="CI120" s="151"/>
      <c r="CJ120" s="151"/>
      <c r="CK120" s="151"/>
      <c r="CL120" s="151"/>
      <c r="CM120" s="151"/>
      <c r="CN120" s="151"/>
      <c r="CO120" s="151"/>
      <c r="CP120" s="151"/>
      <c r="CQ120" s="151"/>
      <c r="CR120" s="151"/>
      <c r="CS120" s="151"/>
      <c r="CT120" s="151"/>
      <c r="CU120" s="151"/>
      <c r="CV120" s="151"/>
      <c r="CW120" s="151"/>
      <c r="CX120" s="151"/>
      <c r="CY120" s="151"/>
      <c r="CZ120" s="151"/>
      <c r="DA120" s="151"/>
      <c r="DB120" s="151"/>
      <c r="DC120" s="151"/>
      <c r="DD120" s="151"/>
      <c r="DE120" s="151"/>
      <c r="DF120" s="151"/>
      <c r="DG120" s="151"/>
      <c r="DH120" s="151"/>
      <c r="DI120" s="151"/>
      <c r="DJ120" s="151"/>
      <c r="DK120" s="151"/>
      <c r="DL120" s="151"/>
      <c r="DM120" s="151"/>
      <c r="DN120" s="151"/>
      <c r="DO120" s="151"/>
      <c r="DP120" s="151"/>
      <c r="DQ120" s="151"/>
      <c r="DR120" s="151"/>
      <c r="DS120" s="151"/>
      <c r="DT120" s="151"/>
      <c r="DU120" s="151"/>
      <c r="DV120" s="151"/>
      <c r="DW120" s="151"/>
      <c r="DX120" s="151"/>
      <c r="DY120" s="151"/>
      <c r="DZ120" s="151"/>
      <c r="EA120" s="151"/>
      <c r="EB120" s="151"/>
      <c r="EC120" s="151"/>
      <c r="ED120" s="151"/>
      <c r="EE120" s="151"/>
      <c r="EF120" s="151"/>
      <c r="EG120" s="151"/>
      <c r="EH120" s="151"/>
      <c r="EI120" s="151"/>
      <c r="EJ120" s="151"/>
      <c r="EK120" s="151"/>
      <c r="EL120" s="151"/>
      <c r="EM120" s="151"/>
      <c r="EN120" s="151"/>
      <c r="EO120" s="151"/>
      <c r="EP120" s="151"/>
      <c r="EQ120" s="151"/>
      <c r="ER120" s="151"/>
      <c r="ES120" s="151"/>
      <c r="ET120" s="151"/>
      <c r="EU120" s="151"/>
      <c r="EV120" s="151"/>
      <c r="EW120" s="151"/>
      <c r="EX120" s="151"/>
      <c r="EY120" s="151"/>
      <c r="EZ120" s="151"/>
      <c r="FA120" s="151"/>
      <c r="FB120" s="151"/>
      <c r="FC120" s="151"/>
      <c r="FD120" s="151"/>
      <c r="FE120" s="151"/>
      <c r="FF120" s="151"/>
      <c r="FG120" s="151"/>
      <c r="FH120" s="151"/>
      <c r="FI120" s="151"/>
      <c r="FJ120" s="151"/>
      <c r="FK120" s="151"/>
      <c r="FL120" s="151"/>
      <c r="FM120" s="151"/>
      <c r="FN120" s="151"/>
      <c r="FO120" s="151"/>
      <c r="FP120" s="151"/>
      <c r="FQ120" s="151"/>
      <c r="FR120" s="151"/>
      <c r="FS120" s="151"/>
      <c r="FT120" s="151"/>
      <c r="FU120" s="151"/>
      <c r="FV120" s="151"/>
      <c r="FW120" s="151"/>
      <c r="FX120" s="151"/>
      <c r="FY120" s="151"/>
      <c r="FZ120" s="151"/>
      <c r="GA120" s="151"/>
      <c r="GB120" s="151"/>
      <c r="GC120" s="151"/>
      <c r="GD120" s="151"/>
      <c r="GE120" s="151"/>
      <c r="GF120" s="151"/>
      <c r="GG120" s="151"/>
      <c r="GH120" s="151"/>
      <c r="GI120" s="151"/>
      <c r="GJ120" s="151"/>
      <c r="GK120" s="151"/>
      <c r="GL120" s="151"/>
      <c r="GM120" s="151"/>
      <c r="GN120" s="151"/>
      <c r="GO120" s="151"/>
      <c r="GP120" s="151"/>
      <c r="GQ120" s="151"/>
      <c r="GR120" s="151"/>
      <c r="GS120" s="151"/>
      <c r="GT120" s="151"/>
      <c r="GU120" s="151"/>
      <c r="GV120" s="151"/>
      <c r="GW120" s="151"/>
      <c r="GX120" s="151"/>
      <c r="GY120" s="151"/>
      <c r="GZ120" s="151"/>
      <c r="HA120" s="151"/>
      <c r="HB120" s="151"/>
      <c r="HC120" s="151"/>
      <c r="HD120" s="151"/>
      <c r="HE120" s="151"/>
      <c r="HF120" s="151"/>
      <c r="HG120" s="151"/>
      <c r="HH120" s="151"/>
      <c r="HI120" s="151"/>
      <c r="HJ120" s="151"/>
      <c r="HK120" s="151"/>
      <c r="HL120" s="151"/>
      <c r="HM120" s="151"/>
      <c r="HN120" s="151"/>
      <c r="HO120" s="151"/>
      <c r="HP120" s="151"/>
      <c r="HQ120" s="151"/>
      <c r="HR120" s="151"/>
      <c r="HS120" s="151"/>
      <c r="HT120" s="151"/>
      <c r="HU120" s="151"/>
      <c r="HV120" s="151"/>
      <c r="HW120" s="151"/>
      <c r="HX120" s="151"/>
      <c r="HY120" s="151"/>
      <c r="HZ120" s="151"/>
    </row>
    <row r="121" spans="1:234" ht="15" customHeight="1">
      <c r="A121" s="189" t="s">
        <v>881</v>
      </c>
      <c r="B121" s="178"/>
      <c r="C121" s="178"/>
      <c r="D121" s="178"/>
      <c r="E121" s="178"/>
      <c r="F121" s="178"/>
      <c r="G121" s="178"/>
      <c r="H121" s="178"/>
      <c r="I121" s="178"/>
      <c r="J121" s="209"/>
      <c r="K121" s="183" t="e">
        <f>K61</f>
        <v>#REF!</v>
      </c>
      <c r="L121" s="183" t="e">
        <f>L61</f>
        <v>#REF!</v>
      </c>
      <c r="M121" s="183" t="e">
        <f>M61</f>
        <v>#REF!</v>
      </c>
      <c r="N121" s="183" t="e">
        <f>N61</f>
        <v>#REF!</v>
      </c>
      <c r="O121" s="150"/>
      <c r="P121" s="150"/>
      <c r="Q121" s="150"/>
      <c r="R121" s="150"/>
      <c r="S121" s="150"/>
      <c r="T121" s="150"/>
      <c r="U121" s="150"/>
      <c r="V121" s="150"/>
      <c r="W121" s="150"/>
      <c r="X121" s="150"/>
      <c r="Y121" s="150"/>
      <c r="Z121" s="150"/>
      <c r="AA121" s="150"/>
      <c r="AB121" s="150"/>
      <c r="AC121" s="150"/>
      <c r="AD121" s="150"/>
      <c r="AE121" s="150"/>
      <c r="AF121" s="150"/>
      <c r="AG121" s="150"/>
      <c r="AH121" s="150"/>
      <c r="AI121" s="150"/>
      <c r="AJ121" s="150"/>
      <c r="AK121" s="150"/>
      <c r="AL121" s="150"/>
      <c r="AM121" s="150"/>
      <c r="AN121" s="150"/>
      <c r="AO121" s="150"/>
      <c r="AP121" s="150"/>
      <c r="AQ121" s="150"/>
      <c r="AR121" s="150"/>
      <c r="AS121" s="150"/>
      <c r="AT121" s="150"/>
      <c r="AU121" s="150"/>
      <c r="AV121" s="150"/>
      <c r="AW121" s="150"/>
      <c r="AX121" s="150"/>
      <c r="AY121" s="150"/>
      <c r="AZ121" s="150"/>
      <c r="BA121" s="150"/>
      <c r="BB121" s="150"/>
      <c r="BC121" s="150"/>
      <c r="BD121" s="150"/>
      <c r="BE121" s="150"/>
      <c r="BF121" s="150"/>
      <c r="BG121" s="150"/>
      <c r="BH121" s="150"/>
      <c r="BI121" s="150"/>
      <c r="BJ121" s="150"/>
      <c r="BK121" s="150"/>
      <c r="BL121" s="150"/>
      <c r="BM121" s="150"/>
      <c r="BN121" s="150"/>
      <c r="BO121" s="150"/>
      <c r="BP121" s="150"/>
      <c r="BQ121" s="150"/>
      <c r="BR121" s="150"/>
      <c r="BS121" s="150"/>
      <c r="BT121" s="150"/>
      <c r="BU121" s="150"/>
      <c r="BV121" s="150"/>
      <c r="BW121" s="150"/>
      <c r="BX121" s="150"/>
      <c r="BY121" s="150"/>
      <c r="BZ121" s="150"/>
      <c r="CA121" s="150"/>
      <c r="CB121" s="150"/>
      <c r="CC121" s="150"/>
      <c r="CD121" s="150"/>
      <c r="CE121" s="150"/>
      <c r="CF121" s="150"/>
      <c r="CG121" s="151"/>
      <c r="CH121" s="151"/>
      <c r="CI121" s="151"/>
      <c r="CJ121" s="151"/>
      <c r="CK121" s="151"/>
      <c r="CL121" s="151"/>
      <c r="CM121" s="151"/>
      <c r="CN121" s="151"/>
      <c r="CO121" s="151"/>
      <c r="CP121" s="151"/>
      <c r="CQ121" s="151"/>
      <c r="CR121" s="151"/>
      <c r="CS121" s="151"/>
      <c r="CT121" s="151"/>
      <c r="CU121" s="151"/>
      <c r="CV121" s="151"/>
      <c r="CW121" s="151"/>
      <c r="CX121" s="151"/>
      <c r="CY121" s="151"/>
      <c r="CZ121" s="151"/>
      <c r="DA121" s="151"/>
      <c r="DB121" s="151"/>
      <c r="DC121" s="151"/>
      <c r="DD121" s="151"/>
      <c r="DE121" s="151"/>
      <c r="DF121" s="151"/>
      <c r="DG121" s="151"/>
      <c r="DH121" s="151"/>
      <c r="DI121" s="151"/>
      <c r="DJ121" s="151"/>
      <c r="DK121" s="151"/>
      <c r="DL121" s="151"/>
      <c r="DM121" s="151"/>
      <c r="DN121" s="151"/>
      <c r="DO121" s="151"/>
      <c r="DP121" s="151"/>
      <c r="DQ121" s="151"/>
      <c r="DR121" s="151"/>
      <c r="DS121" s="151"/>
      <c r="DT121" s="151"/>
      <c r="DU121" s="151"/>
      <c r="DV121" s="151"/>
      <c r="DW121" s="151"/>
      <c r="DX121" s="151"/>
      <c r="DY121" s="151"/>
      <c r="DZ121" s="151"/>
      <c r="EA121" s="151"/>
      <c r="EB121" s="151"/>
      <c r="EC121" s="151"/>
      <c r="ED121" s="151"/>
      <c r="EE121" s="151"/>
      <c r="EF121" s="151"/>
      <c r="EG121" s="151"/>
      <c r="EH121" s="151"/>
      <c r="EI121" s="151"/>
      <c r="EJ121" s="151"/>
      <c r="EK121" s="151"/>
      <c r="EL121" s="151"/>
      <c r="EM121" s="151"/>
      <c r="EN121" s="151"/>
      <c r="EO121" s="151"/>
      <c r="EP121" s="151"/>
      <c r="EQ121" s="151"/>
      <c r="ER121" s="151"/>
      <c r="ES121" s="151"/>
      <c r="ET121" s="151"/>
      <c r="EU121" s="151"/>
      <c r="EV121" s="151"/>
      <c r="EW121" s="151"/>
      <c r="EX121" s="151"/>
      <c r="EY121" s="151"/>
      <c r="EZ121" s="151"/>
      <c r="FA121" s="151"/>
      <c r="FB121" s="151"/>
      <c r="FC121" s="151"/>
      <c r="FD121" s="151"/>
      <c r="FE121" s="151"/>
      <c r="FF121" s="151"/>
      <c r="FG121" s="151"/>
      <c r="FH121" s="151"/>
      <c r="FI121" s="151"/>
      <c r="FJ121" s="151"/>
      <c r="FK121" s="151"/>
      <c r="FL121" s="151"/>
      <c r="FM121" s="151"/>
      <c r="FN121" s="151"/>
      <c r="FO121" s="151"/>
      <c r="FP121" s="151"/>
      <c r="FQ121" s="151"/>
      <c r="FR121" s="151"/>
      <c r="FS121" s="151"/>
      <c r="FT121" s="151"/>
      <c r="FU121" s="151"/>
      <c r="FV121" s="151"/>
      <c r="FW121" s="151"/>
      <c r="FX121" s="151"/>
      <c r="FY121" s="151"/>
      <c r="FZ121" s="151"/>
      <c r="GA121" s="151"/>
      <c r="GB121" s="151"/>
      <c r="GC121" s="151"/>
      <c r="GD121" s="151"/>
      <c r="GE121" s="151"/>
      <c r="GF121" s="151"/>
      <c r="GG121" s="151"/>
      <c r="GH121" s="151"/>
      <c r="GI121" s="151"/>
      <c r="GJ121" s="151"/>
      <c r="GK121" s="151"/>
      <c r="GL121" s="151"/>
      <c r="GM121" s="151"/>
      <c r="GN121" s="151"/>
      <c r="GO121" s="151"/>
      <c r="GP121" s="151"/>
      <c r="GQ121" s="151"/>
      <c r="GR121" s="151"/>
      <c r="GS121" s="151"/>
      <c r="GT121" s="151"/>
      <c r="GU121" s="151"/>
      <c r="GV121" s="151"/>
      <c r="GW121" s="151"/>
      <c r="GX121" s="151"/>
      <c r="GY121" s="151"/>
      <c r="GZ121" s="151"/>
      <c r="HA121" s="151"/>
      <c r="HB121" s="151"/>
      <c r="HC121" s="151"/>
      <c r="HD121" s="151"/>
      <c r="HE121" s="151"/>
      <c r="HF121" s="151"/>
      <c r="HG121" s="151"/>
      <c r="HH121" s="151"/>
      <c r="HI121" s="151"/>
      <c r="HJ121" s="151"/>
      <c r="HK121" s="151"/>
      <c r="HL121" s="151"/>
      <c r="HM121" s="151"/>
      <c r="HN121" s="151"/>
      <c r="HO121" s="151"/>
      <c r="HP121" s="151"/>
      <c r="HQ121" s="151"/>
      <c r="HR121" s="151"/>
      <c r="HS121" s="151"/>
      <c r="HT121" s="151"/>
      <c r="HU121" s="151"/>
      <c r="HV121" s="151"/>
      <c r="HW121" s="151"/>
      <c r="HX121" s="151"/>
      <c r="HY121" s="151"/>
      <c r="HZ121" s="151"/>
    </row>
    <row r="122" spans="1:234" ht="15" customHeight="1">
      <c r="A122" s="189" t="s">
        <v>882</v>
      </c>
      <c r="B122" s="178"/>
      <c r="C122" s="178"/>
      <c r="D122" s="178"/>
      <c r="E122" s="178"/>
      <c r="F122" s="178"/>
      <c r="G122" s="178"/>
      <c r="H122" s="178"/>
      <c r="I122" s="178"/>
      <c r="J122" s="209"/>
      <c r="K122" s="183" t="e">
        <f>K90</f>
        <v>#REF!</v>
      </c>
      <c r="L122" s="183" t="e">
        <f>L90</f>
        <v>#REF!</v>
      </c>
      <c r="M122" s="183" t="e">
        <f>M90</f>
        <v>#REF!</v>
      </c>
      <c r="N122" s="183" t="e">
        <f>N90</f>
        <v>#REF!</v>
      </c>
      <c r="O122" s="150"/>
      <c r="P122" s="150"/>
      <c r="Q122" s="150"/>
      <c r="R122" s="150"/>
      <c r="S122" s="150"/>
      <c r="T122" s="150"/>
      <c r="U122" s="150"/>
      <c r="V122" s="150"/>
      <c r="W122" s="150"/>
      <c r="X122" s="150"/>
      <c r="Y122" s="150"/>
      <c r="Z122" s="150"/>
      <c r="AA122" s="150"/>
      <c r="AB122" s="150"/>
      <c r="AC122" s="150"/>
      <c r="AD122" s="150"/>
      <c r="AE122" s="150"/>
      <c r="AF122" s="150"/>
      <c r="AG122" s="150"/>
      <c r="AH122" s="150"/>
      <c r="AI122" s="150"/>
      <c r="AJ122" s="150"/>
      <c r="AK122" s="150"/>
      <c r="AL122" s="150"/>
      <c r="AM122" s="150"/>
      <c r="AN122" s="150"/>
      <c r="AO122" s="150"/>
      <c r="AP122" s="150"/>
      <c r="AQ122" s="150"/>
      <c r="AR122" s="150"/>
      <c r="AS122" s="150"/>
      <c r="AT122" s="150"/>
      <c r="AU122" s="150"/>
      <c r="AV122" s="150"/>
      <c r="AW122" s="150"/>
      <c r="AX122" s="150"/>
      <c r="AY122" s="150"/>
      <c r="AZ122" s="150"/>
      <c r="BA122" s="150"/>
      <c r="BB122" s="150"/>
      <c r="BC122" s="150"/>
      <c r="BD122" s="150"/>
      <c r="BE122" s="150"/>
      <c r="BF122" s="150"/>
      <c r="BG122" s="150"/>
      <c r="BH122" s="150"/>
      <c r="BI122" s="150"/>
      <c r="BJ122" s="150"/>
      <c r="BK122" s="150"/>
      <c r="BL122" s="150"/>
      <c r="BM122" s="150"/>
      <c r="BN122" s="150"/>
      <c r="BO122" s="150"/>
      <c r="BP122" s="150"/>
      <c r="BQ122" s="150"/>
      <c r="BR122" s="150"/>
      <c r="BS122" s="150"/>
      <c r="BT122" s="150"/>
      <c r="BU122" s="150"/>
      <c r="BV122" s="150"/>
      <c r="BW122" s="150"/>
      <c r="BX122" s="150"/>
      <c r="BY122" s="150"/>
      <c r="BZ122" s="150"/>
      <c r="CA122" s="150"/>
      <c r="CB122" s="150"/>
      <c r="CC122" s="150"/>
      <c r="CD122" s="150"/>
      <c r="CE122" s="150"/>
      <c r="CF122" s="150"/>
      <c r="CG122" s="151"/>
      <c r="CH122" s="151"/>
      <c r="CI122" s="151"/>
      <c r="CJ122" s="151"/>
      <c r="CK122" s="151"/>
      <c r="CL122" s="151"/>
      <c r="CM122" s="151"/>
      <c r="CN122" s="151"/>
      <c r="CO122" s="151"/>
      <c r="CP122" s="151"/>
      <c r="CQ122" s="151"/>
      <c r="CR122" s="151"/>
      <c r="CS122" s="151"/>
      <c r="CT122" s="151"/>
      <c r="CU122" s="151"/>
      <c r="CV122" s="151"/>
      <c r="CW122" s="151"/>
      <c r="CX122" s="151"/>
      <c r="CY122" s="151"/>
      <c r="CZ122" s="151"/>
      <c r="DA122" s="151"/>
      <c r="DB122" s="151"/>
      <c r="DC122" s="151"/>
      <c r="DD122" s="151"/>
      <c r="DE122" s="151"/>
      <c r="DF122" s="151"/>
      <c r="DG122" s="151"/>
      <c r="DH122" s="151"/>
      <c r="DI122" s="151"/>
      <c r="DJ122" s="151"/>
      <c r="DK122" s="151"/>
      <c r="DL122" s="151"/>
      <c r="DM122" s="151"/>
      <c r="DN122" s="151"/>
      <c r="DO122" s="151"/>
      <c r="DP122" s="151"/>
      <c r="DQ122" s="151"/>
      <c r="DR122" s="151"/>
      <c r="DS122" s="151"/>
      <c r="DT122" s="151"/>
      <c r="DU122" s="151"/>
      <c r="DV122" s="151"/>
      <c r="DW122" s="151"/>
      <c r="DX122" s="151"/>
      <c r="DY122" s="151"/>
      <c r="DZ122" s="151"/>
      <c r="EA122" s="151"/>
      <c r="EB122" s="151"/>
      <c r="EC122" s="151"/>
      <c r="ED122" s="151"/>
      <c r="EE122" s="151"/>
      <c r="EF122" s="151"/>
      <c r="EG122" s="151"/>
      <c r="EH122" s="151"/>
      <c r="EI122" s="151"/>
      <c r="EJ122" s="151"/>
      <c r="EK122" s="151"/>
      <c r="EL122" s="151"/>
      <c r="EM122" s="151"/>
      <c r="EN122" s="151"/>
      <c r="EO122" s="151"/>
      <c r="EP122" s="151"/>
      <c r="EQ122" s="151"/>
      <c r="ER122" s="151"/>
      <c r="ES122" s="151"/>
      <c r="ET122" s="151"/>
      <c r="EU122" s="151"/>
      <c r="EV122" s="151"/>
      <c r="EW122" s="151"/>
      <c r="EX122" s="151"/>
      <c r="EY122" s="151"/>
      <c r="EZ122" s="151"/>
      <c r="FA122" s="151"/>
      <c r="FB122" s="151"/>
      <c r="FC122" s="151"/>
      <c r="FD122" s="151"/>
      <c r="FE122" s="151"/>
      <c r="FF122" s="151"/>
      <c r="FG122" s="151"/>
      <c r="FH122" s="151"/>
      <c r="FI122" s="151"/>
      <c r="FJ122" s="151"/>
      <c r="FK122" s="151"/>
      <c r="FL122" s="151"/>
      <c r="FM122" s="151"/>
      <c r="FN122" s="151"/>
      <c r="FO122" s="151"/>
      <c r="FP122" s="151"/>
      <c r="FQ122" s="151"/>
      <c r="FR122" s="151"/>
      <c r="FS122" s="151"/>
      <c r="FT122" s="151"/>
      <c r="FU122" s="151"/>
      <c r="FV122" s="151"/>
      <c r="FW122" s="151"/>
      <c r="FX122" s="151"/>
      <c r="FY122" s="151"/>
      <c r="FZ122" s="151"/>
      <c r="GA122" s="151"/>
      <c r="GB122" s="151"/>
      <c r="GC122" s="151"/>
      <c r="GD122" s="151"/>
      <c r="GE122" s="151"/>
      <c r="GF122" s="151"/>
      <c r="GG122" s="151"/>
      <c r="GH122" s="151"/>
      <c r="GI122" s="151"/>
      <c r="GJ122" s="151"/>
      <c r="GK122" s="151"/>
      <c r="GL122" s="151"/>
      <c r="GM122" s="151"/>
      <c r="GN122" s="151"/>
      <c r="GO122" s="151"/>
      <c r="GP122" s="151"/>
      <c r="GQ122" s="151"/>
      <c r="GR122" s="151"/>
      <c r="GS122" s="151"/>
      <c r="GT122" s="151"/>
      <c r="GU122" s="151"/>
      <c r="GV122" s="151"/>
      <c r="GW122" s="151"/>
      <c r="GX122" s="151"/>
      <c r="GY122" s="151"/>
      <c r="GZ122" s="151"/>
      <c r="HA122" s="151"/>
      <c r="HB122" s="151"/>
      <c r="HC122" s="151"/>
      <c r="HD122" s="151"/>
      <c r="HE122" s="151"/>
      <c r="HF122" s="151"/>
      <c r="HG122" s="151"/>
      <c r="HH122" s="151"/>
      <c r="HI122" s="151"/>
      <c r="HJ122" s="151"/>
      <c r="HK122" s="151"/>
      <c r="HL122" s="151"/>
      <c r="HM122" s="151"/>
      <c r="HN122" s="151"/>
      <c r="HO122" s="151"/>
      <c r="HP122" s="151"/>
      <c r="HQ122" s="151"/>
      <c r="HR122" s="151"/>
      <c r="HS122" s="151"/>
      <c r="HT122" s="151"/>
      <c r="HU122" s="151"/>
      <c r="HV122" s="151"/>
      <c r="HW122" s="151"/>
      <c r="HX122" s="151"/>
      <c r="HY122" s="151"/>
      <c r="HZ122" s="151"/>
    </row>
    <row r="123" spans="1:234" ht="15" customHeight="1">
      <c r="A123" s="189" t="s">
        <v>873</v>
      </c>
      <c r="B123" s="178"/>
      <c r="C123" s="178"/>
      <c r="D123" s="178"/>
      <c r="E123" s="178"/>
      <c r="F123" s="178"/>
      <c r="G123" s="178"/>
      <c r="H123" s="178"/>
      <c r="I123" s="178"/>
      <c r="J123" s="209"/>
      <c r="K123" s="183" t="e">
        <f>K98</f>
        <v>#REF!</v>
      </c>
      <c r="L123" s="183" t="e">
        <f>L98</f>
        <v>#REF!</v>
      </c>
      <c r="M123" s="183" t="e">
        <f>M98</f>
        <v>#REF!</v>
      </c>
      <c r="N123" s="183" t="e">
        <f>N98</f>
        <v>#REF!</v>
      </c>
      <c r="O123" s="150"/>
      <c r="P123" s="150"/>
      <c r="Q123" s="150"/>
      <c r="R123" s="150"/>
      <c r="S123" s="150"/>
      <c r="T123" s="150"/>
      <c r="U123" s="150"/>
      <c r="V123" s="150"/>
      <c r="W123" s="150"/>
      <c r="X123" s="150"/>
      <c r="Y123" s="150"/>
      <c r="Z123" s="150"/>
      <c r="AA123" s="150"/>
      <c r="AB123" s="150"/>
      <c r="AC123" s="150"/>
      <c r="AD123" s="150"/>
      <c r="AE123" s="150"/>
      <c r="AF123" s="150"/>
      <c r="AG123" s="150"/>
      <c r="AH123" s="150"/>
      <c r="AI123" s="150"/>
      <c r="AJ123" s="150"/>
      <c r="AK123" s="150"/>
      <c r="AL123" s="150"/>
      <c r="AM123" s="150"/>
      <c r="AN123" s="150"/>
      <c r="AO123" s="150"/>
      <c r="AP123" s="150"/>
      <c r="AQ123" s="150"/>
      <c r="AR123" s="150"/>
      <c r="AS123" s="150"/>
      <c r="AT123" s="150"/>
      <c r="AU123" s="150"/>
      <c r="AV123" s="150"/>
      <c r="AW123" s="150"/>
      <c r="AX123" s="150"/>
      <c r="AY123" s="150"/>
      <c r="AZ123" s="150"/>
      <c r="BA123" s="150"/>
      <c r="BB123" s="150"/>
      <c r="BC123" s="150"/>
      <c r="BD123" s="150"/>
      <c r="BE123" s="150"/>
      <c r="BF123" s="150"/>
      <c r="BG123" s="150"/>
      <c r="BH123" s="150"/>
      <c r="BI123" s="150"/>
      <c r="BJ123" s="150"/>
      <c r="BK123" s="150"/>
      <c r="BL123" s="150"/>
      <c r="BM123" s="150"/>
      <c r="BN123" s="150"/>
      <c r="BO123" s="150"/>
      <c r="BP123" s="150"/>
      <c r="BQ123" s="150"/>
      <c r="BR123" s="150"/>
      <c r="BS123" s="150"/>
      <c r="BT123" s="150"/>
      <c r="BU123" s="150"/>
      <c r="BV123" s="150"/>
      <c r="BW123" s="150"/>
      <c r="BX123" s="150"/>
      <c r="BY123" s="150"/>
      <c r="BZ123" s="150"/>
      <c r="CA123" s="150"/>
      <c r="CB123" s="150"/>
      <c r="CC123" s="150"/>
      <c r="CD123" s="150"/>
      <c r="CE123" s="150"/>
      <c r="CF123" s="150"/>
      <c r="CG123" s="151"/>
      <c r="CH123" s="151"/>
      <c r="CI123" s="151"/>
      <c r="CJ123" s="151"/>
      <c r="CK123" s="151"/>
      <c r="CL123" s="151"/>
      <c r="CM123" s="151"/>
      <c r="CN123" s="151"/>
      <c r="CO123" s="151"/>
      <c r="CP123" s="151"/>
      <c r="CQ123" s="151"/>
      <c r="CR123" s="151"/>
      <c r="CS123" s="151"/>
      <c r="CT123" s="151"/>
      <c r="CU123" s="151"/>
      <c r="CV123" s="151"/>
      <c r="CW123" s="151"/>
      <c r="CX123" s="151"/>
      <c r="CY123" s="151"/>
      <c r="CZ123" s="151"/>
      <c r="DA123" s="151"/>
      <c r="DB123" s="151"/>
      <c r="DC123" s="151"/>
      <c r="DD123" s="151"/>
      <c r="DE123" s="151"/>
      <c r="DF123" s="151"/>
      <c r="DG123" s="151"/>
      <c r="DH123" s="151"/>
      <c r="DI123" s="151"/>
      <c r="DJ123" s="151"/>
      <c r="DK123" s="151"/>
      <c r="DL123" s="151"/>
      <c r="DM123" s="151"/>
      <c r="DN123" s="151"/>
      <c r="DO123" s="151"/>
      <c r="DP123" s="151"/>
      <c r="DQ123" s="151"/>
      <c r="DR123" s="151"/>
      <c r="DS123" s="151"/>
      <c r="DT123" s="151"/>
      <c r="DU123" s="151"/>
      <c r="DV123" s="151"/>
      <c r="DW123" s="151"/>
      <c r="DX123" s="151"/>
      <c r="DY123" s="151"/>
      <c r="DZ123" s="151"/>
      <c r="EA123" s="151"/>
      <c r="EB123" s="151"/>
      <c r="EC123" s="151"/>
      <c r="ED123" s="151"/>
      <c r="EE123" s="151"/>
      <c r="EF123" s="151"/>
      <c r="EG123" s="151"/>
      <c r="EH123" s="151"/>
      <c r="EI123" s="151"/>
      <c r="EJ123" s="151"/>
      <c r="EK123" s="151"/>
      <c r="EL123" s="151"/>
      <c r="EM123" s="151"/>
      <c r="EN123" s="151"/>
      <c r="EO123" s="151"/>
      <c r="EP123" s="151"/>
      <c r="EQ123" s="151"/>
      <c r="ER123" s="151"/>
      <c r="ES123" s="151"/>
      <c r="ET123" s="151"/>
      <c r="EU123" s="151"/>
      <c r="EV123" s="151"/>
      <c r="EW123" s="151"/>
      <c r="EX123" s="151"/>
      <c r="EY123" s="151"/>
      <c r="EZ123" s="151"/>
      <c r="FA123" s="151"/>
      <c r="FB123" s="151"/>
      <c r="FC123" s="151"/>
      <c r="FD123" s="151"/>
      <c r="FE123" s="151"/>
      <c r="FF123" s="151"/>
      <c r="FG123" s="151"/>
      <c r="FH123" s="151"/>
      <c r="FI123" s="151"/>
      <c r="FJ123" s="151"/>
      <c r="FK123" s="151"/>
      <c r="FL123" s="151"/>
      <c r="FM123" s="151"/>
      <c r="FN123" s="151"/>
      <c r="FO123" s="151"/>
      <c r="FP123" s="151"/>
      <c r="FQ123" s="151"/>
      <c r="FR123" s="151"/>
      <c r="FS123" s="151"/>
      <c r="FT123" s="151"/>
      <c r="FU123" s="151"/>
      <c r="FV123" s="151"/>
      <c r="FW123" s="151"/>
      <c r="FX123" s="151"/>
      <c r="FY123" s="151"/>
      <c r="FZ123" s="151"/>
      <c r="GA123" s="151"/>
      <c r="GB123" s="151"/>
      <c r="GC123" s="151"/>
      <c r="GD123" s="151"/>
      <c r="GE123" s="151"/>
      <c r="GF123" s="151"/>
      <c r="GG123" s="151"/>
      <c r="GH123" s="151"/>
      <c r="GI123" s="151"/>
      <c r="GJ123" s="151"/>
      <c r="GK123" s="151"/>
      <c r="GL123" s="151"/>
      <c r="GM123" s="151"/>
      <c r="GN123" s="151"/>
      <c r="GO123" s="151"/>
      <c r="GP123" s="151"/>
      <c r="GQ123" s="151"/>
      <c r="GR123" s="151"/>
      <c r="GS123" s="151"/>
      <c r="GT123" s="151"/>
      <c r="GU123" s="151"/>
      <c r="GV123" s="151"/>
      <c r="GW123" s="151"/>
      <c r="GX123" s="151"/>
      <c r="GY123" s="151"/>
      <c r="GZ123" s="151"/>
      <c r="HA123" s="151"/>
      <c r="HB123" s="151"/>
      <c r="HC123" s="151"/>
      <c r="HD123" s="151"/>
      <c r="HE123" s="151"/>
      <c r="HF123" s="151"/>
      <c r="HG123" s="151"/>
      <c r="HH123" s="151"/>
      <c r="HI123" s="151"/>
      <c r="HJ123" s="151"/>
      <c r="HK123" s="151"/>
      <c r="HL123" s="151"/>
      <c r="HM123" s="151"/>
      <c r="HN123" s="151"/>
      <c r="HO123" s="151"/>
      <c r="HP123" s="151"/>
      <c r="HQ123" s="151"/>
      <c r="HR123" s="151"/>
      <c r="HS123" s="151"/>
      <c r="HT123" s="151"/>
      <c r="HU123" s="151"/>
      <c r="HV123" s="151"/>
      <c r="HW123" s="151"/>
      <c r="HX123" s="151"/>
      <c r="HY123" s="151"/>
      <c r="HZ123" s="151"/>
    </row>
    <row r="124" spans="1:234" ht="14.1" customHeight="1">
      <c r="A124" s="210" t="s">
        <v>175</v>
      </c>
      <c r="B124" s="211"/>
      <c r="C124" s="211"/>
      <c r="D124" s="211"/>
      <c r="E124" s="211"/>
      <c r="F124" s="211"/>
      <c r="G124" s="211"/>
      <c r="H124" s="211"/>
      <c r="I124" s="212"/>
      <c r="J124" s="209"/>
      <c r="K124" s="183" t="e">
        <f>SUM(K119:K123)</f>
        <v>#REF!</v>
      </c>
      <c r="L124" s="183" t="e">
        <f>SUM(L119:L123)</f>
        <v>#REF!</v>
      </c>
      <c r="M124" s="183" t="e">
        <f>SUM(M119:M123)</f>
        <v>#REF!</v>
      </c>
      <c r="N124" s="183" t="e">
        <f>SUM(N119:N123)</f>
        <v>#REF!</v>
      </c>
    </row>
    <row r="125" spans="1:234" ht="15" customHeight="1">
      <c r="A125" s="189" t="s">
        <v>222</v>
      </c>
      <c r="B125" s="178"/>
      <c r="C125" s="178"/>
      <c r="D125" s="178"/>
      <c r="E125" s="178"/>
      <c r="F125" s="178"/>
      <c r="G125" s="178"/>
      <c r="H125" s="178"/>
      <c r="I125" s="178"/>
      <c r="J125" s="209"/>
      <c r="K125" s="183" t="e">
        <f>K117</f>
        <v>#REF!</v>
      </c>
      <c r="L125" s="183" t="e">
        <f>L117</f>
        <v>#REF!</v>
      </c>
      <c r="M125" s="183" t="e">
        <f>M117</f>
        <v>#REF!</v>
      </c>
      <c r="N125" s="183" t="e">
        <f>N117</f>
        <v>#REF!</v>
      </c>
      <c r="O125" s="150"/>
      <c r="P125" s="150"/>
      <c r="Q125" s="150"/>
      <c r="R125" s="150"/>
      <c r="S125" s="150"/>
      <c r="T125" s="150"/>
      <c r="U125" s="150"/>
      <c r="V125" s="150"/>
      <c r="W125" s="150"/>
      <c r="X125" s="150"/>
      <c r="Y125" s="150"/>
      <c r="Z125" s="150"/>
      <c r="AA125" s="150"/>
      <c r="AB125" s="150"/>
      <c r="AC125" s="150"/>
      <c r="AD125" s="150"/>
      <c r="AE125" s="150"/>
      <c r="AF125" s="150"/>
      <c r="AG125" s="150"/>
      <c r="AH125" s="150"/>
      <c r="AI125" s="150"/>
      <c r="AJ125" s="150"/>
      <c r="AK125" s="150"/>
      <c r="AL125" s="150"/>
      <c r="AM125" s="150"/>
      <c r="AN125" s="150"/>
      <c r="AO125" s="150"/>
      <c r="AP125" s="150"/>
      <c r="AQ125" s="150"/>
      <c r="AR125" s="150"/>
      <c r="AS125" s="150"/>
      <c r="AT125" s="150"/>
      <c r="AU125" s="150"/>
      <c r="AV125" s="150"/>
      <c r="AW125" s="150"/>
      <c r="AX125" s="150"/>
      <c r="AY125" s="150"/>
      <c r="AZ125" s="150"/>
      <c r="BA125" s="150"/>
      <c r="BB125" s="150"/>
      <c r="BC125" s="150"/>
      <c r="BD125" s="150"/>
      <c r="BE125" s="150"/>
      <c r="BF125" s="150"/>
      <c r="BG125" s="150"/>
      <c r="BH125" s="150"/>
      <c r="BI125" s="150"/>
      <c r="BJ125" s="150"/>
      <c r="BK125" s="150"/>
      <c r="BL125" s="150"/>
      <c r="BM125" s="150"/>
      <c r="BN125" s="150"/>
      <c r="BO125" s="150"/>
      <c r="BP125" s="150"/>
      <c r="BQ125" s="150"/>
      <c r="BR125" s="150"/>
      <c r="BS125" s="150"/>
      <c r="BT125" s="150"/>
      <c r="BU125" s="150"/>
      <c r="BV125" s="150"/>
      <c r="BW125" s="150"/>
      <c r="BX125" s="150"/>
      <c r="BY125" s="150"/>
      <c r="BZ125" s="150"/>
      <c r="CA125" s="150"/>
      <c r="CB125" s="150"/>
      <c r="CC125" s="150"/>
      <c r="CD125" s="150"/>
      <c r="CE125" s="150"/>
      <c r="CF125" s="150"/>
      <c r="CG125" s="151"/>
      <c r="CH125" s="151"/>
      <c r="CI125" s="151"/>
      <c r="CJ125" s="151"/>
      <c r="CK125" s="151"/>
      <c r="CL125" s="151"/>
      <c r="CM125" s="151"/>
      <c r="CN125" s="151"/>
      <c r="CO125" s="151"/>
      <c r="CP125" s="151"/>
      <c r="CQ125" s="151"/>
      <c r="CR125" s="151"/>
      <c r="CS125" s="151"/>
      <c r="CT125" s="151"/>
      <c r="CU125" s="151"/>
      <c r="CV125" s="151"/>
      <c r="CW125" s="151"/>
      <c r="CX125" s="151"/>
      <c r="CY125" s="151"/>
      <c r="CZ125" s="151"/>
      <c r="DA125" s="151"/>
      <c r="DB125" s="151"/>
      <c r="DC125" s="151"/>
      <c r="DD125" s="151"/>
      <c r="DE125" s="151"/>
      <c r="DF125" s="151"/>
      <c r="DG125" s="151"/>
      <c r="DH125" s="151"/>
      <c r="DI125" s="151"/>
      <c r="DJ125" s="151"/>
      <c r="DK125" s="151"/>
      <c r="DL125" s="151"/>
      <c r="DM125" s="151"/>
      <c r="DN125" s="151"/>
      <c r="DO125" s="151"/>
      <c r="DP125" s="151"/>
      <c r="DQ125" s="151"/>
      <c r="DR125" s="151"/>
      <c r="DS125" s="151"/>
      <c r="DT125" s="151"/>
      <c r="DU125" s="151"/>
      <c r="DV125" s="151"/>
      <c r="DW125" s="151"/>
      <c r="DX125" s="151"/>
      <c r="DY125" s="151"/>
      <c r="DZ125" s="151"/>
      <c r="EA125" s="151"/>
      <c r="EB125" s="151"/>
      <c r="EC125" s="151"/>
      <c r="ED125" s="151"/>
      <c r="EE125" s="151"/>
      <c r="EF125" s="151"/>
      <c r="EG125" s="151"/>
      <c r="EH125" s="151"/>
      <c r="EI125" s="151"/>
      <c r="EJ125" s="151"/>
      <c r="EK125" s="151"/>
      <c r="EL125" s="151"/>
      <c r="EM125" s="151"/>
      <c r="EN125" s="151"/>
      <c r="EO125" s="151"/>
      <c r="EP125" s="151"/>
      <c r="EQ125" s="151"/>
      <c r="ER125" s="151"/>
      <c r="ES125" s="151"/>
      <c r="ET125" s="151"/>
      <c r="EU125" s="151"/>
      <c r="EV125" s="151"/>
      <c r="EW125" s="151"/>
      <c r="EX125" s="151"/>
      <c r="EY125" s="151"/>
      <c r="EZ125" s="151"/>
      <c r="FA125" s="151"/>
      <c r="FB125" s="151"/>
      <c r="FC125" s="151"/>
      <c r="FD125" s="151"/>
      <c r="FE125" s="151"/>
      <c r="FF125" s="151"/>
      <c r="FG125" s="151"/>
      <c r="FH125" s="151"/>
      <c r="FI125" s="151"/>
      <c r="FJ125" s="151"/>
      <c r="FK125" s="151"/>
      <c r="FL125" s="151"/>
      <c r="FM125" s="151"/>
      <c r="FN125" s="151"/>
      <c r="FO125" s="151"/>
      <c r="FP125" s="151"/>
      <c r="FQ125" s="151"/>
      <c r="FR125" s="151"/>
      <c r="FS125" s="151"/>
      <c r="FT125" s="151"/>
      <c r="FU125" s="151"/>
      <c r="FV125" s="151"/>
      <c r="FW125" s="151"/>
      <c r="FX125" s="151"/>
      <c r="FY125" s="151"/>
      <c r="FZ125" s="151"/>
      <c r="GA125" s="151"/>
      <c r="GB125" s="151"/>
      <c r="GC125" s="151"/>
      <c r="GD125" s="151"/>
      <c r="GE125" s="151"/>
      <c r="GF125" s="151"/>
      <c r="GG125" s="151"/>
      <c r="GH125" s="151"/>
      <c r="GI125" s="151"/>
      <c r="GJ125" s="151"/>
      <c r="GK125" s="151"/>
      <c r="GL125" s="151"/>
      <c r="GM125" s="151"/>
      <c r="GN125" s="151"/>
      <c r="GO125" s="151"/>
      <c r="GP125" s="151"/>
      <c r="GQ125" s="151"/>
      <c r="GR125" s="151"/>
      <c r="GS125" s="151"/>
      <c r="GT125" s="151"/>
      <c r="GU125" s="151"/>
      <c r="GV125" s="151"/>
      <c r="GW125" s="151"/>
      <c r="GX125" s="151"/>
      <c r="GY125" s="151"/>
      <c r="GZ125" s="151"/>
      <c r="HA125" s="151"/>
      <c r="HB125" s="151"/>
      <c r="HC125" s="151"/>
      <c r="HD125" s="151"/>
      <c r="HE125" s="151"/>
      <c r="HF125" s="151"/>
      <c r="HG125" s="151"/>
      <c r="HH125" s="151"/>
      <c r="HI125" s="151"/>
      <c r="HJ125" s="151"/>
      <c r="HK125" s="151"/>
      <c r="HL125" s="151"/>
      <c r="HM125" s="151"/>
      <c r="HN125" s="151"/>
      <c r="HO125" s="151"/>
      <c r="HP125" s="151"/>
      <c r="HQ125" s="151"/>
      <c r="HR125" s="151"/>
      <c r="HS125" s="151"/>
      <c r="HT125" s="151"/>
      <c r="HU125" s="151"/>
      <c r="HV125" s="151"/>
      <c r="HW125" s="151"/>
      <c r="HX125" s="151"/>
      <c r="HY125" s="151"/>
      <c r="HZ125" s="151"/>
    </row>
    <row r="126" spans="1:234" ht="14.1" customHeight="1">
      <c r="A126" s="210" t="s">
        <v>175</v>
      </c>
      <c r="B126" s="211"/>
      <c r="C126" s="211"/>
      <c r="D126" s="211"/>
      <c r="E126" s="211"/>
      <c r="F126" s="211"/>
      <c r="G126" s="211"/>
      <c r="H126" s="211"/>
      <c r="I126" s="212"/>
      <c r="J126" s="209"/>
      <c r="K126" s="183" t="e">
        <f>K124+K125</f>
        <v>#REF!</v>
      </c>
      <c r="L126" s="183" t="e">
        <f>L124+L125</f>
        <v>#REF!</v>
      </c>
      <c r="M126" s="183" t="e">
        <f>M124+M125</f>
        <v>#REF!</v>
      </c>
      <c r="N126" s="183" t="e">
        <f>N124+N125</f>
        <v>#REF!</v>
      </c>
    </row>
    <row r="127" spans="1:234" ht="21.75" customHeight="1">
      <c r="A127" s="1077" t="s">
        <v>1031</v>
      </c>
      <c r="B127" s="1078"/>
      <c r="C127" s="1078"/>
      <c r="D127" s="1078"/>
      <c r="E127" s="1078"/>
      <c r="F127" s="1078"/>
      <c r="G127" s="1078"/>
      <c r="H127" s="1078"/>
      <c r="I127" s="1078"/>
      <c r="J127" s="213"/>
      <c r="K127" s="188" t="e">
        <f>K126</f>
        <v>#REF!</v>
      </c>
      <c r="L127" s="188" t="e">
        <f>L126</f>
        <v>#REF!</v>
      </c>
      <c r="M127" s="188" t="e">
        <f>M126</f>
        <v>#REF!</v>
      </c>
      <c r="N127" s="188" t="e">
        <f>N126</f>
        <v>#REF!</v>
      </c>
    </row>
    <row r="128" spans="1:234">
      <c r="A128" s="127"/>
      <c r="B128" s="127"/>
      <c r="C128" s="127"/>
      <c r="D128" s="127"/>
      <c r="E128" s="127"/>
      <c r="F128" s="127"/>
      <c r="G128" s="127"/>
      <c r="H128" s="127"/>
      <c r="I128" s="168"/>
      <c r="J128" s="127"/>
      <c r="K128" s="168"/>
      <c r="L128" s="168"/>
      <c r="M128" s="168"/>
      <c r="N128" s="168"/>
    </row>
    <row r="129" spans="1:84" s="170" customFormat="1" ht="69" customHeight="1">
      <c r="A129" s="1112" t="s">
        <v>1032</v>
      </c>
      <c r="B129" s="1112"/>
      <c r="C129" s="1112"/>
      <c r="D129" s="1112"/>
      <c r="E129" s="1112"/>
      <c r="F129" s="1112"/>
      <c r="G129" s="1112"/>
      <c r="H129" s="1112"/>
      <c r="I129" s="1112"/>
      <c r="J129" s="1112"/>
      <c r="K129" s="1112"/>
      <c r="L129" s="1112"/>
      <c r="M129" s="169"/>
      <c r="N129" s="169"/>
      <c r="O129" s="169"/>
      <c r="P129" s="169"/>
      <c r="Q129" s="169"/>
      <c r="R129" s="169"/>
      <c r="S129" s="169"/>
      <c r="T129" s="169"/>
      <c r="U129" s="169"/>
      <c r="V129" s="169"/>
      <c r="W129" s="169"/>
      <c r="X129" s="169"/>
      <c r="Y129" s="169"/>
      <c r="Z129" s="169"/>
      <c r="AA129" s="169"/>
      <c r="AB129" s="169"/>
      <c r="AC129" s="169"/>
      <c r="AD129" s="169"/>
      <c r="AE129" s="169"/>
      <c r="AF129" s="169"/>
      <c r="AG129" s="169"/>
      <c r="AH129" s="169"/>
      <c r="AI129" s="169"/>
      <c r="AJ129" s="169"/>
      <c r="AK129" s="169"/>
      <c r="AL129" s="169"/>
      <c r="AM129" s="169"/>
      <c r="AN129" s="169"/>
      <c r="AO129" s="169"/>
      <c r="AP129" s="169"/>
      <c r="AQ129" s="169"/>
      <c r="AR129" s="169"/>
      <c r="AS129" s="169"/>
      <c r="AT129" s="169"/>
      <c r="AU129" s="169"/>
      <c r="AV129" s="169"/>
      <c r="AW129" s="169"/>
      <c r="AX129" s="169"/>
      <c r="AY129" s="169"/>
      <c r="AZ129" s="169"/>
      <c r="BA129" s="169"/>
      <c r="BB129" s="169"/>
      <c r="BC129" s="169"/>
      <c r="BD129" s="169"/>
      <c r="BE129" s="169"/>
      <c r="BF129" s="169"/>
      <c r="BG129" s="169"/>
      <c r="BH129" s="169"/>
      <c r="BI129" s="169"/>
      <c r="BJ129" s="169"/>
      <c r="BK129" s="169"/>
      <c r="BL129" s="169"/>
      <c r="BM129" s="169"/>
      <c r="BN129" s="169"/>
      <c r="BO129" s="169"/>
      <c r="BP129" s="169"/>
      <c r="BQ129" s="169"/>
      <c r="BR129" s="169"/>
      <c r="BS129" s="169"/>
      <c r="BT129" s="169"/>
      <c r="BU129" s="169"/>
      <c r="BV129" s="169"/>
      <c r="BW129" s="169"/>
      <c r="BX129" s="169"/>
      <c r="BY129" s="169"/>
      <c r="BZ129" s="169"/>
      <c r="CA129" s="169"/>
      <c r="CB129" s="169"/>
      <c r="CC129" s="169"/>
      <c r="CD129" s="169"/>
      <c r="CE129" s="169"/>
      <c r="CF129" s="169"/>
    </row>
    <row r="130" spans="1:84" s="135" customFormat="1">
      <c r="A130" s="137"/>
      <c r="B130" s="137"/>
      <c r="C130" s="137"/>
      <c r="D130" s="137"/>
      <c r="E130" s="137"/>
      <c r="F130" s="137"/>
      <c r="G130" s="137"/>
      <c r="H130" s="137"/>
      <c r="I130" s="139"/>
      <c r="J130" s="137"/>
      <c r="K130" s="139"/>
      <c r="L130" s="139"/>
      <c r="M130" s="139"/>
      <c r="N130" s="139"/>
    </row>
    <row r="131" spans="1:84" s="135" customFormat="1">
      <c r="I131" s="143"/>
      <c r="K131" s="143"/>
      <c r="L131" s="143"/>
      <c r="M131" s="143"/>
      <c r="N131" s="143"/>
    </row>
    <row r="132" spans="1:84" s="135" customFormat="1">
      <c r="A132" s="1113"/>
      <c r="B132" s="1113"/>
      <c r="C132" s="1113"/>
      <c r="D132" s="1113"/>
      <c r="E132" s="1113"/>
      <c r="F132" s="1113"/>
      <c r="G132" s="1113"/>
      <c r="H132" s="1113"/>
      <c r="I132" s="1113"/>
      <c r="J132" s="1113"/>
      <c r="K132" s="1113"/>
      <c r="L132" s="143"/>
      <c r="N132" s="143"/>
    </row>
    <row r="133" spans="1:84" s="135" customFormat="1">
      <c r="I133" s="143"/>
      <c r="K133" s="143"/>
      <c r="L133" s="143"/>
      <c r="M133" s="143"/>
      <c r="N133" s="143"/>
    </row>
    <row r="134" spans="1:84" s="135" customFormat="1">
      <c r="A134" s="137"/>
      <c r="B134" s="137"/>
      <c r="C134" s="137"/>
      <c r="D134" s="137"/>
      <c r="E134" s="137"/>
      <c r="F134" s="137"/>
      <c r="G134" s="137"/>
      <c r="H134" s="137"/>
      <c r="I134" s="137"/>
      <c r="J134" s="284"/>
      <c r="K134" s="171"/>
      <c r="L134" s="171"/>
      <c r="M134" s="171"/>
      <c r="N134" s="171"/>
    </row>
    <row r="135" spans="1:84" s="135" customFormat="1">
      <c r="A135" s="137"/>
      <c r="B135" s="137"/>
      <c r="C135" s="137"/>
      <c r="D135" s="137"/>
      <c r="E135" s="137"/>
      <c r="F135" s="137"/>
      <c r="G135" s="137"/>
      <c r="H135" s="137"/>
      <c r="I135" s="137"/>
      <c r="J135" s="284"/>
      <c r="K135" s="171"/>
      <c r="L135" s="171"/>
      <c r="M135" s="171"/>
      <c r="N135" s="171"/>
    </row>
    <row r="136" spans="1:84" s="135" customFormat="1">
      <c r="I136" s="143"/>
      <c r="K136" s="143"/>
      <c r="L136" s="143"/>
      <c r="M136" s="143"/>
      <c r="N136" s="143"/>
    </row>
    <row r="137" spans="1:84" s="135" customFormat="1">
      <c r="I137" s="143"/>
      <c r="K137" s="143"/>
      <c r="L137" s="143"/>
      <c r="M137" s="143"/>
      <c r="N137" s="143"/>
    </row>
    <row r="138" spans="1:84" s="135" customFormat="1">
      <c r="I138" s="143"/>
      <c r="K138" s="143"/>
      <c r="L138" s="143"/>
      <c r="M138" s="143"/>
      <c r="N138" s="143"/>
    </row>
    <row r="139" spans="1:84" s="135" customFormat="1"/>
    <row r="140" spans="1:84" s="135" customFormat="1"/>
    <row r="141" spans="1:84" s="135" customFormat="1"/>
    <row r="142" spans="1:84" s="135" customFormat="1"/>
    <row r="143" spans="1:84" s="135" customFormat="1"/>
    <row r="144" spans="1:84" s="135" customFormat="1"/>
    <row r="145" s="135" customFormat="1"/>
    <row r="146" s="135" customFormat="1"/>
    <row r="147" s="135" customFormat="1"/>
    <row r="148" s="135" customFormat="1"/>
    <row r="149" s="135" customFormat="1"/>
    <row r="150" s="135" customFormat="1"/>
    <row r="151" s="135" customFormat="1"/>
    <row r="152" s="135" customFormat="1"/>
    <row r="153" s="135" customFormat="1"/>
    <row r="154" s="135" customFormat="1"/>
    <row r="155" s="135" customFormat="1"/>
    <row r="156" s="135" customFormat="1"/>
    <row r="157" s="135" customFormat="1"/>
    <row r="158" s="135" customFormat="1"/>
    <row r="159" s="135" customFormat="1"/>
    <row r="160" s="135" customFormat="1"/>
    <row r="161" spans="9:14" s="135" customFormat="1"/>
    <row r="162" spans="9:14" s="135" customFormat="1"/>
    <row r="163" spans="9:14" s="135" customFormat="1"/>
    <row r="164" spans="9:14" s="135" customFormat="1"/>
    <row r="165" spans="9:14" s="135" customFormat="1"/>
    <row r="166" spans="9:14" s="135" customFormat="1"/>
    <row r="167" spans="9:14" s="135" customFormat="1"/>
    <row r="168" spans="9:14" s="135" customFormat="1"/>
    <row r="169" spans="9:14" s="135" customFormat="1"/>
    <row r="170" spans="9:14" s="135" customFormat="1" ht="26.1" customHeight="1">
      <c r="I170" s="143"/>
      <c r="K170" s="143"/>
      <c r="L170" s="143"/>
      <c r="M170" s="143"/>
      <c r="N170" s="143"/>
    </row>
    <row r="171" spans="9:14" s="135" customFormat="1" ht="26.1" customHeight="1">
      <c r="I171" s="143"/>
      <c r="K171" s="143"/>
      <c r="L171" s="143"/>
      <c r="M171" s="143"/>
      <c r="N171" s="143"/>
    </row>
    <row r="172" spans="9:14" s="135" customFormat="1" ht="26.1" customHeight="1">
      <c r="I172" s="143"/>
      <c r="K172" s="143"/>
      <c r="L172" s="143"/>
      <c r="M172" s="143"/>
      <c r="N172" s="143"/>
    </row>
    <row r="173" spans="9:14" s="135" customFormat="1" ht="26.1" customHeight="1">
      <c r="I173" s="143"/>
      <c r="K173" s="143"/>
      <c r="L173" s="143"/>
      <c r="M173" s="143"/>
      <c r="N173" s="143"/>
    </row>
    <row r="174" spans="9:14" s="135" customFormat="1" ht="26.1" customHeight="1">
      <c r="I174" s="143"/>
      <c r="K174" s="143"/>
      <c r="L174" s="143"/>
      <c r="M174" s="143"/>
      <c r="N174" s="143"/>
    </row>
    <row r="175" spans="9:14" s="135" customFormat="1" ht="26.1" customHeight="1">
      <c r="I175" s="143"/>
      <c r="K175" s="143"/>
      <c r="L175" s="143"/>
      <c r="M175" s="143"/>
      <c r="N175" s="143"/>
    </row>
    <row r="176" spans="9:14" s="135" customFormat="1" ht="26.1" customHeight="1">
      <c r="I176" s="143"/>
      <c r="K176" s="143"/>
      <c r="L176" s="143"/>
      <c r="M176" s="143"/>
      <c r="N176" s="143"/>
    </row>
    <row r="177" spans="9:14" s="135" customFormat="1" ht="26.1" customHeight="1">
      <c r="I177" s="143"/>
      <c r="K177" s="143"/>
      <c r="L177" s="143"/>
      <c r="M177" s="143"/>
      <c r="N177" s="143"/>
    </row>
    <row r="178" spans="9:14" s="135" customFormat="1" ht="26.1" customHeight="1">
      <c r="I178" s="143"/>
      <c r="K178" s="143"/>
      <c r="L178" s="143"/>
      <c r="M178" s="143"/>
      <c r="N178" s="143"/>
    </row>
    <row r="179" spans="9:14" s="135" customFormat="1" ht="26.1" customHeight="1">
      <c r="I179" s="143"/>
      <c r="K179" s="143"/>
      <c r="L179" s="143"/>
      <c r="M179" s="143"/>
      <c r="N179" s="143"/>
    </row>
    <row r="180" spans="9:14" s="135" customFormat="1" ht="26.1" customHeight="1">
      <c r="I180" s="143"/>
      <c r="K180" s="143"/>
      <c r="L180" s="143"/>
      <c r="M180" s="143"/>
      <c r="N180" s="143"/>
    </row>
    <row r="181" spans="9:14" s="135" customFormat="1" ht="26.1" customHeight="1">
      <c r="I181" s="143"/>
      <c r="K181" s="143"/>
      <c r="L181" s="143"/>
      <c r="M181" s="143"/>
      <c r="N181" s="143"/>
    </row>
    <row r="182" spans="9:14" s="135" customFormat="1">
      <c r="I182" s="143"/>
      <c r="K182" s="143"/>
      <c r="L182" s="143"/>
      <c r="M182" s="143"/>
      <c r="N182" s="143"/>
    </row>
    <row r="183" spans="9:14" s="135" customFormat="1">
      <c r="I183" s="143"/>
      <c r="K183" s="143"/>
      <c r="L183" s="143"/>
      <c r="M183" s="143"/>
      <c r="N183" s="143"/>
    </row>
    <row r="184" spans="9:14" s="135" customFormat="1">
      <c r="I184" s="143"/>
      <c r="K184" s="143"/>
      <c r="L184" s="143"/>
      <c r="M184" s="143"/>
      <c r="N184" s="143"/>
    </row>
    <row r="185" spans="9:14" s="135" customFormat="1">
      <c r="I185" s="143"/>
      <c r="K185" s="143"/>
      <c r="L185" s="143"/>
      <c r="M185" s="143"/>
      <c r="N185" s="143"/>
    </row>
    <row r="186" spans="9:14" s="135" customFormat="1">
      <c r="I186" s="143"/>
      <c r="K186" s="143"/>
      <c r="L186" s="143"/>
      <c r="M186" s="143"/>
      <c r="N186" s="143"/>
    </row>
    <row r="187" spans="9:14" s="135" customFormat="1">
      <c r="I187" s="143"/>
      <c r="K187" s="143"/>
      <c r="L187" s="143"/>
      <c r="M187" s="143"/>
      <c r="N187" s="143"/>
    </row>
    <row r="188" spans="9:14" s="135" customFormat="1">
      <c r="I188" s="143"/>
      <c r="K188" s="143"/>
      <c r="L188" s="143"/>
      <c r="M188" s="143"/>
      <c r="N188" s="143"/>
    </row>
    <row r="189" spans="9:14" s="135" customFormat="1">
      <c r="I189" s="143"/>
      <c r="K189" s="143"/>
      <c r="L189" s="143"/>
      <c r="M189" s="143"/>
      <c r="N189" s="143"/>
    </row>
    <row r="190" spans="9:14" s="135" customFormat="1">
      <c r="I190" s="143"/>
      <c r="K190" s="143"/>
      <c r="L190" s="143"/>
      <c r="M190" s="143"/>
      <c r="N190" s="143"/>
    </row>
    <row r="191" spans="9:14" s="135" customFormat="1">
      <c r="I191" s="143"/>
      <c r="K191" s="143"/>
      <c r="L191" s="143"/>
      <c r="M191" s="143"/>
      <c r="N191" s="143"/>
    </row>
    <row r="192" spans="9:14" s="135" customFormat="1">
      <c r="I192" s="143"/>
      <c r="K192" s="143"/>
      <c r="L192" s="143"/>
      <c r="M192" s="143"/>
      <c r="N192" s="143"/>
    </row>
    <row r="193" spans="9:14" s="135" customFormat="1">
      <c r="I193" s="143"/>
      <c r="K193" s="143"/>
      <c r="L193" s="143"/>
      <c r="M193" s="143"/>
      <c r="N193" s="143"/>
    </row>
    <row r="194" spans="9:14" s="135" customFormat="1">
      <c r="I194" s="143"/>
      <c r="K194" s="143"/>
      <c r="L194" s="143"/>
      <c r="M194" s="143"/>
      <c r="N194" s="143"/>
    </row>
    <row r="195" spans="9:14" s="135" customFormat="1">
      <c r="I195" s="143"/>
      <c r="K195" s="143"/>
      <c r="L195" s="143"/>
      <c r="M195" s="143"/>
      <c r="N195" s="143"/>
    </row>
    <row r="196" spans="9:14" s="135" customFormat="1">
      <c r="I196" s="143"/>
      <c r="K196" s="143"/>
      <c r="L196" s="143"/>
      <c r="M196" s="143"/>
      <c r="N196" s="143"/>
    </row>
    <row r="197" spans="9:14" s="135" customFormat="1">
      <c r="I197" s="143"/>
      <c r="K197" s="143"/>
      <c r="L197" s="143"/>
      <c r="M197" s="143"/>
      <c r="N197" s="143"/>
    </row>
    <row r="198" spans="9:14" s="135" customFormat="1">
      <c r="I198" s="143"/>
      <c r="K198" s="143"/>
      <c r="L198" s="143"/>
      <c r="M198" s="143"/>
      <c r="N198" s="143"/>
    </row>
    <row r="199" spans="9:14" s="135" customFormat="1">
      <c r="I199" s="143"/>
      <c r="K199" s="143"/>
      <c r="L199" s="143"/>
      <c r="M199" s="143"/>
      <c r="N199" s="143"/>
    </row>
    <row r="200" spans="9:14" s="135" customFormat="1">
      <c r="I200" s="143"/>
      <c r="K200" s="143"/>
      <c r="L200" s="143"/>
      <c r="M200" s="143"/>
      <c r="N200" s="143"/>
    </row>
    <row r="201" spans="9:14" s="135" customFormat="1">
      <c r="I201" s="143"/>
      <c r="K201" s="143"/>
      <c r="L201" s="143"/>
      <c r="M201" s="143"/>
      <c r="N201" s="143"/>
    </row>
    <row r="202" spans="9:14" s="135" customFormat="1">
      <c r="I202" s="143"/>
      <c r="K202" s="143"/>
      <c r="L202" s="143"/>
      <c r="M202" s="143"/>
      <c r="N202" s="143"/>
    </row>
    <row r="203" spans="9:14" s="135" customFormat="1">
      <c r="I203" s="143"/>
      <c r="K203" s="143"/>
      <c r="L203" s="143"/>
      <c r="M203" s="143"/>
      <c r="N203" s="143"/>
    </row>
    <row r="204" spans="9:14" s="135" customFormat="1">
      <c r="I204" s="143"/>
      <c r="K204" s="143"/>
      <c r="L204" s="143"/>
      <c r="M204" s="143"/>
      <c r="N204" s="143"/>
    </row>
    <row r="205" spans="9:14" s="135" customFormat="1">
      <c r="I205" s="143"/>
      <c r="K205" s="143"/>
      <c r="L205" s="143"/>
      <c r="M205" s="143"/>
      <c r="N205" s="143"/>
    </row>
    <row r="206" spans="9:14" s="135" customFormat="1">
      <c r="I206" s="143"/>
      <c r="K206" s="143"/>
      <c r="L206" s="143"/>
      <c r="M206" s="143"/>
      <c r="N206" s="143"/>
    </row>
    <row r="207" spans="9:14" s="135" customFormat="1">
      <c r="I207" s="143"/>
      <c r="K207" s="143"/>
      <c r="L207" s="143"/>
      <c r="M207" s="143"/>
      <c r="N207" s="143"/>
    </row>
    <row r="208" spans="9:14" s="135" customFormat="1">
      <c r="I208" s="143"/>
      <c r="K208" s="143"/>
      <c r="L208" s="143"/>
      <c r="M208" s="143"/>
      <c r="N208" s="143"/>
    </row>
    <row r="209" spans="9:14" s="135" customFormat="1">
      <c r="I209" s="143"/>
      <c r="K209" s="143"/>
      <c r="L209" s="143"/>
      <c r="M209" s="143"/>
      <c r="N209" s="143"/>
    </row>
    <row r="210" spans="9:14" s="135" customFormat="1">
      <c r="I210" s="143"/>
      <c r="K210" s="143"/>
      <c r="L210" s="143"/>
      <c r="M210" s="143"/>
      <c r="N210" s="143"/>
    </row>
    <row r="211" spans="9:14" s="135" customFormat="1">
      <c r="I211" s="143"/>
      <c r="K211" s="143"/>
      <c r="L211" s="143"/>
      <c r="M211" s="143"/>
      <c r="N211" s="143"/>
    </row>
    <row r="212" spans="9:14" s="135" customFormat="1">
      <c r="I212" s="143"/>
      <c r="K212" s="143"/>
      <c r="L212" s="143"/>
      <c r="M212" s="143"/>
      <c r="N212" s="143"/>
    </row>
    <row r="213" spans="9:14" s="135" customFormat="1">
      <c r="I213" s="143"/>
      <c r="K213" s="143"/>
      <c r="L213" s="143"/>
      <c r="M213" s="143"/>
      <c r="N213" s="143"/>
    </row>
    <row r="214" spans="9:14" s="135" customFormat="1">
      <c r="I214" s="143"/>
      <c r="K214" s="143"/>
      <c r="L214" s="143"/>
      <c r="M214" s="143"/>
      <c r="N214" s="143"/>
    </row>
    <row r="215" spans="9:14" s="135" customFormat="1">
      <c r="I215" s="143"/>
      <c r="K215" s="143"/>
      <c r="L215" s="143"/>
      <c r="M215" s="143"/>
      <c r="N215" s="143"/>
    </row>
    <row r="216" spans="9:14" s="135" customFormat="1">
      <c r="I216" s="143"/>
      <c r="K216" s="143"/>
      <c r="L216" s="143"/>
      <c r="M216" s="143"/>
      <c r="N216" s="143"/>
    </row>
    <row r="217" spans="9:14" s="135" customFormat="1">
      <c r="I217" s="143"/>
      <c r="K217" s="143"/>
      <c r="L217" s="143"/>
      <c r="M217" s="143"/>
      <c r="N217" s="143"/>
    </row>
    <row r="218" spans="9:14" s="135" customFormat="1">
      <c r="I218" s="143"/>
      <c r="K218" s="143"/>
      <c r="L218" s="143"/>
      <c r="M218" s="143"/>
      <c r="N218" s="143"/>
    </row>
    <row r="219" spans="9:14" s="135" customFormat="1">
      <c r="I219" s="143"/>
      <c r="K219" s="143"/>
      <c r="L219" s="143"/>
      <c r="M219" s="143"/>
      <c r="N219" s="143"/>
    </row>
    <row r="220" spans="9:14" s="135" customFormat="1">
      <c r="I220" s="143"/>
      <c r="K220" s="143"/>
      <c r="L220" s="143"/>
      <c r="M220" s="143"/>
      <c r="N220" s="143"/>
    </row>
    <row r="221" spans="9:14" s="135" customFormat="1">
      <c r="I221" s="143"/>
      <c r="K221" s="143"/>
      <c r="L221" s="143"/>
      <c r="M221" s="143"/>
      <c r="N221" s="143"/>
    </row>
    <row r="222" spans="9:14" s="135" customFormat="1">
      <c r="I222" s="143"/>
      <c r="K222" s="143"/>
      <c r="L222" s="143"/>
      <c r="M222" s="143"/>
      <c r="N222" s="143"/>
    </row>
    <row r="223" spans="9:14" s="135" customFormat="1">
      <c r="I223" s="143"/>
      <c r="K223" s="143"/>
      <c r="L223" s="143"/>
      <c r="M223" s="143"/>
      <c r="N223" s="143"/>
    </row>
    <row r="224" spans="9:14" s="135" customFormat="1">
      <c r="I224" s="143"/>
      <c r="K224" s="143"/>
      <c r="L224" s="143"/>
      <c r="M224" s="143"/>
      <c r="N224" s="143"/>
    </row>
    <row r="225" spans="9:14" s="135" customFormat="1">
      <c r="I225" s="143"/>
      <c r="K225" s="143"/>
      <c r="L225" s="143"/>
      <c r="M225" s="143"/>
      <c r="N225" s="143"/>
    </row>
    <row r="226" spans="9:14" s="135" customFormat="1">
      <c r="I226" s="143"/>
      <c r="K226" s="143"/>
      <c r="L226" s="143"/>
      <c r="M226" s="143"/>
      <c r="N226" s="143"/>
    </row>
    <row r="227" spans="9:14" s="135" customFormat="1">
      <c r="I227" s="143"/>
      <c r="K227" s="143"/>
      <c r="L227" s="143"/>
      <c r="M227" s="143"/>
      <c r="N227" s="143"/>
    </row>
    <row r="228" spans="9:14" s="135" customFormat="1">
      <c r="I228" s="143"/>
      <c r="K228" s="143"/>
      <c r="L228" s="143"/>
      <c r="M228" s="143"/>
      <c r="N228" s="143"/>
    </row>
    <row r="229" spans="9:14" s="135" customFormat="1">
      <c r="I229" s="143"/>
      <c r="K229" s="143"/>
      <c r="L229" s="143"/>
      <c r="M229" s="143"/>
      <c r="N229" s="143"/>
    </row>
    <row r="230" spans="9:14" s="135" customFormat="1">
      <c r="I230" s="143"/>
      <c r="K230" s="143"/>
      <c r="L230" s="143"/>
      <c r="M230" s="143"/>
      <c r="N230" s="143"/>
    </row>
    <row r="231" spans="9:14" s="135" customFormat="1">
      <c r="I231" s="143"/>
      <c r="K231" s="143"/>
      <c r="L231" s="143"/>
      <c r="M231" s="143"/>
      <c r="N231" s="143"/>
    </row>
    <row r="232" spans="9:14" s="135" customFormat="1">
      <c r="I232" s="143"/>
      <c r="K232" s="143"/>
      <c r="L232" s="143"/>
      <c r="M232" s="143"/>
      <c r="N232" s="143"/>
    </row>
    <row r="233" spans="9:14" s="135" customFormat="1">
      <c r="I233" s="143"/>
      <c r="K233" s="143"/>
      <c r="L233" s="143"/>
      <c r="M233" s="143"/>
      <c r="N233" s="143"/>
    </row>
    <row r="234" spans="9:14" s="135" customFormat="1">
      <c r="I234" s="143"/>
      <c r="K234" s="143"/>
      <c r="L234" s="143"/>
      <c r="M234" s="143"/>
      <c r="N234" s="143"/>
    </row>
    <row r="235" spans="9:14" s="135" customFormat="1">
      <c r="I235" s="143"/>
      <c r="K235" s="143"/>
      <c r="L235" s="143"/>
      <c r="M235" s="143"/>
      <c r="N235" s="143"/>
    </row>
    <row r="236" spans="9:14" s="135" customFormat="1">
      <c r="I236" s="143"/>
      <c r="K236" s="143"/>
      <c r="L236" s="143"/>
      <c r="M236" s="143"/>
      <c r="N236" s="143"/>
    </row>
    <row r="237" spans="9:14" s="135" customFormat="1">
      <c r="I237" s="143"/>
      <c r="K237" s="143"/>
      <c r="L237" s="143"/>
      <c r="M237" s="143"/>
      <c r="N237" s="143"/>
    </row>
    <row r="238" spans="9:14" s="135" customFormat="1">
      <c r="I238" s="143"/>
      <c r="K238" s="143"/>
      <c r="L238" s="143"/>
      <c r="M238" s="143"/>
      <c r="N238" s="143"/>
    </row>
    <row r="239" spans="9:14" s="135" customFormat="1">
      <c r="I239" s="143"/>
      <c r="K239" s="143"/>
      <c r="L239" s="143"/>
      <c r="M239" s="143"/>
      <c r="N239" s="143"/>
    </row>
    <row r="240" spans="9:14" s="135" customFormat="1">
      <c r="I240" s="143"/>
      <c r="K240" s="143"/>
      <c r="L240" s="143"/>
      <c r="M240" s="143"/>
      <c r="N240" s="143"/>
    </row>
    <row r="241" spans="9:14" s="135" customFormat="1">
      <c r="I241" s="143"/>
      <c r="K241" s="143"/>
      <c r="L241" s="143"/>
      <c r="M241" s="143"/>
      <c r="N241" s="143"/>
    </row>
    <row r="242" spans="9:14" s="135" customFormat="1">
      <c r="I242" s="143"/>
      <c r="K242" s="143"/>
      <c r="L242" s="143"/>
      <c r="M242" s="143"/>
      <c r="N242" s="143"/>
    </row>
    <row r="243" spans="9:14" s="135" customFormat="1">
      <c r="I243" s="143"/>
      <c r="K243" s="143"/>
      <c r="L243" s="143"/>
      <c r="M243" s="143"/>
      <c r="N243" s="143"/>
    </row>
    <row r="244" spans="9:14" s="135" customFormat="1">
      <c r="I244" s="143"/>
      <c r="K244" s="143"/>
      <c r="L244" s="143"/>
      <c r="M244" s="143"/>
      <c r="N244" s="143"/>
    </row>
    <row r="245" spans="9:14" s="135" customFormat="1">
      <c r="I245" s="143"/>
      <c r="K245" s="143"/>
      <c r="L245" s="143"/>
      <c r="M245" s="143"/>
      <c r="N245" s="143"/>
    </row>
    <row r="246" spans="9:14" s="135" customFormat="1">
      <c r="I246" s="143"/>
      <c r="K246" s="143"/>
      <c r="L246" s="143"/>
      <c r="M246" s="143"/>
      <c r="N246" s="143"/>
    </row>
    <row r="247" spans="9:14" s="135" customFormat="1">
      <c r="I247" s="143"/>
      <c r="K247" s="143"/>
      <c r="L247" s="143"/>
      <c r="M247" s="143"/>
      <c r="N247" s="143"/>
    </row>
    <row r="248" spans="9:14" s="135" customFormat="1">
      <c r="I248" s="143"/>
      <c r="K248" s="143"/>
      <c r="L248" s="143"/>
      <c r="M248" s="143"/>
      <c r="N248" s="143"/>
    </row>
    <row r="249" spans="9:14" s="135" customFormat="1">
      <c r="I249" s="143"/>
      <c r="K249" s="143"/>
      <c r="L249" s="143"/>
      <c r="M249" s="143"/>
      <c r="N249" s="143"/>
    </row>
    <row r="250" spans="9:14" s="135" customFormat="1">
      <c r="I250" s="143"/>
      <c r="K250" s="143"/>
      <c r="L250" s="143"/>
      <c r="M250" s="143"/>
      <c r="N250" s="143"/>
    </row>
    <row r="251" spans="9:14" s="135" customFormat="1">
      <c r="I251" s="143"/>
      <c r="K251" s="143"/>
      <c r="L251" s="143"/>
      <c r="M251" s="143"/>
      <c r="N251" s="143"/>
    </row>
    <row r="252" spans="9:14" s="135" customFormat="1">
      <c r="I252" s="143"/>
      <c r="K252" s="143"/>
      <c r="L252" s="143"/>
      <c r="M252" s="143"/>
      <c r="N252" s="143"/>
    </row>
    <row r="253" spans="9:14" s="135" customFormat="1">
      <c r="I253" s="143"/>
      <c r="K253" s="143"/>
      <c r="L253" s="143"/>
      <c r="M253" s="143"/>
      <c r="N253" s="143"/>
    </row>
    <row r="254" spans="9:14" s="135" customFormat="1">
      <c r="I254" s="143"/>
      <c r="K254" s="143"/>
      <c r="L254" s="143"/>
      <c r="M254" s="143"/>
      <c r="N254" s="143"/>
    </row>
    <row r="255" spans="9:14" s="135" customFormat="1">
      <c r="I255" s="143"/>
      <c r="K255" s="143"/>
      <c r="L255" s="143"/>
      <c r="M255" s="143"/>
      <c r="N255" s="143"/>
    </row>
    <row r="256" spans="9:14" s="135" customFormat="1">
      <c r="I256" s="143"/>
      <c r="K256" s="143"/>
      <c r="L256" s="143"/>
      <c r="M256" s="143"/>
      <c r="N256" s="143"/>
    </row>
    <row r="257" spans="9:14" s="135" customFormat="1">
      <c r="I257" s="143"/>
      <c r="K257" s="143"/>
      <c r="L257" s="143"/>
      <c r="M257" s="143"/>
      <c r="N257" s="143"/>
    </row>
    <row r="258" spans="9:14" s="135" customFormat="1">
      <c r="I258" s="143"/>
      <c r="K258" s="143"/>
      <c r="L258" s="143"/>
      <c r="M258" s="143"/>
      <c r="N258" s="143"/>
    </row>
    <row r="259" spans="9:14" s="135" customFormat="1">
      <c r="I259" s="143"/>
      <c r="K259" s="143"/>
      <c r="L259" s="143"/>
      <c r="M259" s="143"/>
      <c r="N259" s="143"/>
    </row>
    <row r="260" spans="9:14" s="135" customFormat="1">
      <c r="I260" s="143"/>
      <c r="K260" s="143"/>
      <c r="L260" s="143"/>
      <c r="M260" s="143"/>
      <c r="N260" s="143"/>
    </row>
    <row r="261" spans="9:14" s="135" customFormat="1">
      <c r="I261" s="143"/>
      <c r="K261" s="143"/>
      <c r="L261" s="143"/>
      <c r="M261" s="143"/>
      <c r="N261" s="143"/>
    </row>
    <row r="262" spans="9:14" s="135" customFormat="1">
      <c r="I262" s="143"/>
      <c r="K262" s="143"/>
      <c r="L262" s="143"/>
      <c r="M262" s="143"/>
      <c r="N262" s="143"/>
    </row>
    <row r="263" spans="9:14" s="135" customFormat="1">
      <c r="I263" s="143"/>
      <c r="K263" s="143"/>
      <c r="L263" s="143"/>
      <c r="M263" s="143"/>
      <c r="N263" s="143"/>
    </row>
    <row r="264" spans="9:14" s="135" customFormat="1">
      <c r="I264" s="143"/>
      <c r="K264" s="143"/>
      <c r="L264" s="143"/>
      <c r="M264" s="143"/>
      <c r="N264" s="143"/>
    </row>
    <row r="265" spans="9:14" s="135" customFormat="1">
      <c r="I265" s="143"/>
      <c r="K265" s="143"/>
      <c r="L265" s="143"/>
      <c r="M265" s="143"/>
      <c r="N265" s="143"/>
    </row>
    <row r="266" spans="9:14" s="135" customFormat="1">
      <c r="I266" s="143"/>
      <c r="K266" s="143"/>
      <c r="L266" s="143"/>
      <c r="M266" s="143"/>
      <c r="N266" s="143"/>
    </row>
    <row r="267" spans="9:14" s="135" customFormat="1">
      <c r="I267" s="143"/>
      <c r="K267" s="143"/>
      <c r="L267" s="143"/>
      <c r="M267" s="143"/>
      <c r="N267" s="143"/>
    </row>
    <row r="268" spans="9:14" s="135" customFormat="1">
      <c r="I268" s="143"/>
      <c r="K268" s="143"/>
      <c r="L268" s="143"/>
      <c r="M268" s="143"/>
      <c r="N268" s="143"/>
    </row>
    <row r="269" spans="9:14" s="135" customFormat="1">
      <c r="I269" s="143"/>
      <c r="K269" s="143"/>
      <c r="L269" s="143"/>
      <c r="M269" s="143"/>
      <c r="N269" s="143"/>
    </row>
    <row r="270" spans="9:14" s="135" customFormat="1">
      <c r="I270" s="143"/>
      <c r="K270" s="143"/>
      <c r="L270" s="143"/>
      <c r="M270" s="143"/>
      <c r="N270" s="143"/>
    </row>
    <row r="271" spans="9:14" s="135" customFormat="1">
      <c r="I271" s="143"/>
      <c r="K271" s="143"/>
      <c r="L271" s="143"/>
      <c r="M271" s="143"/>
      <c r="N271" s="143"/>
    </row>
    <row r="272" spans="9:14" s="135" customFormat="1">
      <c r="I272" s="143"/>
      <c r="K272" s="143"/>
      <c r="L272" s="143"/>
      <c r="M272" s="143"/>
      <c r="N272" s="143"/>
    </row>
    <row r="273" spans="9:14" s="135" customFormat="1">
      <c r="I273" s="143"/>
      <c r="K273" s="143"/>
      <c r="L273" s="143"/>
      <c r="M273" s="143"/>
      <c r="N273" s="143"/>
    </row>
    <row r="274" spans="9:14" s="135" customFormat="1">
      <c r="I274" s="143"/>
      <c r="K274" s="143"/>
      <c r="L274" s="143"/>
      <c r="M274" s="143"/>
      <c r="N274" s="143"/>
    </row>
    <row r="275" spans="9:14" s="135" customFormat="1">
      <c r="I275" s="143"/>
      <c r="K275" s="143"/>
      <c r="L275" s="143"/>
      <c r="M275" s="143"/>
      <c r="N275" s="143"/>
    </row>
    <row r="276" spans="9:14" s="135" customFormat="1">
      <c r="I276" s="143"/>
      <c r="K276" s="143"/>
      <c r="L276" s="143"/>
      <c r="M276" s="143"/>
      <c r="N276" s="143"/>
    </row>
    <row r="277" spans="9:14" s="135" customFormat="1">
      <c r="I277" s="143"/>
      <c r="K277" s="143"/>
      <c r="L277" s="143"/>
      <c r="M277" s="143"/>
      <c r="N277" s="143"/>
    </row>
    <row r="278" spans="9:14" s="135" customFormat="1">
      <c r="I278" s="143"/>
      <c r="K278" s="143"/>
      <c r="L278" s="143"/>
      <c r="M278" s="143"/>
      <c r="N278" s="143"/>
    </row>
    <row r="279" spans="9:14" s="135" customFormat="1">
      <c r="I279" s="143"/>
      <c r="K279" s="143"/>
      <c r="L279" s="143"/>
      <c r="M279" s="143"/>
      <c r="N279" s="143"/>
    </row>
    <row r="280" spans="9:14" s="135" customFormat="1">
      <c r="I280" s="143"/>
      <c r="K280" s="143"/>
      <c r="L280" s="143"/>
      <c r="M280" s="143"/>
      <c r="N280" s="143"/>
    </row>
    <row r="281" spans="9:14" s="135" customFormat="1">
      <c r="I281" s="143"/>
      <c r="K281" s="143"/>
      <c r="L281" s="143"/>
      <c r="M281" s="143"/>
      <c r="N281" s="143"/>
    </row>
    <row r="282" spans="9:14" s="135" customFormat="1">
      <c r="I282" s="143"/>
      <c r="K282" s="143"/>
      <c r="L282" s="143"/>
      <c r="M282" s="143"/>
      <c r="N282" s="143"/>
    </row>
    <row r="283" spans="9:14" s="135" customFormat="1">
      <c r="I283" s="143"/>
      <c r="K283" s="143"/>
      <c r="L283" s="143"/>
      <c r="M283" s="143"/>
      <c r="N283" s="143"/>
    </row>
    <row r="284" spans="9:14" s="135" customFormat="1">
      <c r="I284" s="143"/>
      <c r="K284" s="143"/>
      <c r="L284" s="143"/>
      <c r="M284" s="143"/>
      <c r="N284" s="143"/>
    </row>
    <row r="285" spans="9:14" s="135" customFormat="1">
      <c r="I285" s="143"/>
      <c r="K285" s="143"/>
      <c r="L285" s="143"/>
      <c r="M285" s="143"/>
      <c r="N285" s="143"/>
    </row>
    <row r="286" spans="9:14" s="135" customFormat="1">
      <c r="I286" s="143"/>
      <c r="K286" s="143"/>
      <c r="L286" s="143"/>
      <c r="M286" s="143"/>
      <c r="N286" s="143"/>
    </row>
    <row r="287" spans="9:14" s="135" customFormat="1">
      <c r="I287" s="143"/>
      <c r="K287" s="143"/>
      <c r="L287" s="143"/>
      <c r="M287" s="143"/>
      <c r="N287" s="143"/>
    </row>
    <row r="288" spans="9:14" s="135" customFormat="1">
      <c r="I288" s="143"/>
      <c r="K288" s="143"/>
      <c r="L288" s="143"/>
      <c r="M288" s="143"/>
      <c r="N288" s="143"/>
    </row>
    <row r="289" spans="9:14" s="135" customFormat="1">
      <c r="I289" s="143"/>
      <c r="K289" s="143"/>
      <c r="L289" s="143"/>
      <c r="M289" s="143"/>
      <c r="N289" s="143"/>
    </row>
    <row r="290" spans="9:14" s="135" customFormat="1">
      <c r="I290" s="143"/>
      <c r="K290" s="143"/>
      <c r="L290" s="143"/>
      <c r="M290" s="143"/>
      <c r="N290" s="143"/>
    </row>
    <row r="291" spans="9:14" s="135" customFormat="1">
      <c r="I291" s="143"/>
      <c r="K291" s="143"/>
      <c r="L291" s="143"/>
      <c r="M291" s="143"/>
      <c r="N291" s="143"/>
    </row>
    <row r="292" spans="9:14" s="135" customFormat="1">
      <c r="I292" s="143"/>
      <c r="K292" s="143"/>
      <c r="L292" s="143"/>
      <c r="M292" s="143"/>
      <c r="N292" s="143"/>
    </row>
    <row r="293" spans="9:14" s="135" customFormat="1">
      <c r="I293" s="143"/>
      <c r="K293" s="143"/>
      <c r="L293" s="143"/>
      <c r="M293" s="143"/>
      <c r="N293" s="143"/>
    </row>
    <row r="294" spans="9:14" s="135" customFormat="1">
      <c r="I294" s="143"/>
      <c r="K294" s="143"/>
      <c r="L294" s="143"/>
      <c r="M294" s="143"/>
      <c r="N294" s="143"/>
    </row>
    <row r="295" spans="9:14" s="135" customFormat="1">
      <c r="I295" s="143"/>
      <c r="K295" s="143"/>
      <c r="L295" s="143"/>
      <c r="M295" s="143"/>
      <c r="N295" s="143"/>
    </row>
    <row r="296" spans="9:14" s="135" customFormat="1">
      <c r="I296" s="143"/>
      <c r="K296" s="143"/>
      <c r="L296" s="143"/>
      <c r="M296" s="143"/>
      <c r="N296" s="143"/>
    </row>
    <row r="297" spans="9:14" s="135" customFormat="1">
      <c r="I297" s="143"/>
      <c r="K297" s="143"/>
      <c r="L297" s="143"/>
      <c r="M297" s="143"/>
      <c r="N297" s="143"/>
    </row>
    <row r="298" spans="9:14" s="135" customFormat="1">
      <c r="I298" s="143"/>
      <c r="K298" s="143"/>
      <c r="L298" s="143"/>
      <c r="M298" s="143"/>
      <c r="N298" s="143"/>
    </row>
    <row r="299" spans="9:14" s="135" customFormat="1">
      <c r="I299" s="143"/>
      <c r="K299" s="143"/>
      <c r="L299" s="143"/>
      <c r="M299" s="143"/>
      <c r="N299" s="143"/>
    </row>
    <row r="300" spans="9:14" s="135" customFormat="1">
      <c r="I300" s="143"/>
      <c r="K300" s="143"/>
      <c r="L300" s="143"/>
      <c r="M300" s="143"/>
      <c r="N300" s="143"/>
    </row>
    <row r="301" spans="9:14" s="135" customFormat="1">
      <c r="I301" s="143"/>
      <c r="K301" s="143"/>
      <c r="L301" s="143"/>
      <c r="M301" s="143"/>
      <c r="N301" s="143"/>
    </row>
    <row r="302" spans="9:14" s="135" customFormat="1">
      <c r="I302" s="143"/>
      <c r="K302" s="143"/>
      <c r="L302" s="143"/>
      <c r="M302" s="143"/>
      <c r="N302" s="143"/>
    </row>
    <row r="303" spans="9:14" s="135" customFormat="1">
      <c r="I303" s="143"/>
      <c r="K303" s="143"/>
      <c r="L303" s="143"/>
      <c r="M303" s="143"/>
      <c r="N303" s="143"/>
    </row>
    <row r="304" spans="9:14" s="135" customFormat="1">
      <c r="I304" s="143"/>
      <c r="K304" s="143"/>
      <c r="L304" s="143"/>
      <c r="M304" s="143"/>
      <c r="N304" s="143"/>
    </row>
    <row r="305" spans="9:14" s="135" customFormat="1">
      <c r="I305" s="143"/>
      <c r="K305" s="143"/>
      <c r="L305" s="143"/>
      <c r="M305" s="143"/>
      <c r="N305" s="143"/>
    </row>
    <row r="306" spans="9:14" s="135" customFormat="1">
      <c r="I306" s="143"/>
      <c r="K306" s="143"/>
      <c r="L306" s="143"/>
      <c r="M306" s="143"/>
      <c r="N306" s="143"/>
    </row>
    <row r="307" spans="9:14" s="135" customFormat="1">
      <c r="I307" s="143"/>
      <c r="K307" s="143"/>
      <c r="L307" s="143"/>
      <c r="M307" s="143"/>
      <c r="N307" s="143"/>
    </row>
    <row r="308" spans="9:14" s="135" customFormat="1">
      <c r="I308" s="143"/>
      <c r="K308" s="143"/>
      <c r="L308" s="143"/>
      <c r="M308" s="143"/>
      <c r="N308" s="143"/>
    </row>
    <row r="309" spans="9:14" s="135" customFormat="1">
      <c r="I309" s="143"/>
      <c r="K309" s="143"/>
      <c r="L309" s="143"/>
      <c r="M309" s="143"/>
      <c r="N309" s="143"/>
    </row>
    <row r="310" spans="9:14" s="135" customFormat="1">
      <c r="I310" s="143"/>
      <c r="K310" s="143"/>
      <c r="L310" s="143"/>
      <c r="M310" s="143"/>
      <c r="N310" s="143"/>
    </row>
    <row r="311" spans="9:14" s="135" customFormat="1">
      <c r="I311" s="143"/>
      <c r="K311" s="143"/>
      <c r="L311" s="143"/>
      <c r="M311" s="143"/>
      <c r="N311" s="143"/>
    </row>
    <row r="312" spans="9:14" s="135" customFormat="1">
      <c r="I312" s="143"/>
      <c r="K312" s="143"/>
      <c r="L312" s="143"/>
      <c r="M312" s="143"/>
      <c r="N312" s="143"/>
    </row>
    <row r="313" spans="9:14" s="135" customFormat="1">
      <c r="I313" s="143"/>
      <c r="K313" s="143"/>
      <c r="L313" s="143"/>
      <c r="M313" s="143"/>
      <c r="N313" s="143"/>
    </row>
    <row r="314" spans="9:14" s="135" customFormat="1">
      <c r="I314" s="143"/>
      <c r="K314" s="143"/>
      <c r="L314" s="143"/>
      <c r="M314" s="143"/>
      <c r="N314" s="143"/>
    </row>
    <row r="315" spans="9:14" s="135" customFormat="1">
      <c r="I315" s="143"/>
      <c r="K315" s="143"/>
      <c r="L315" s="143"/>
      <c r="M315" s="143"/>
      <c r="N315" s="143"/>
    </row>
    <row r="316" spans="9:14" s="135" customFormat="1">
      <c r="I316" s="143"/>
      <c r="K316" s="143"/>
      <c r="L316" s="143"/>
      <c r="M316" s="143"/>
      <c r="N316" s="143"/>
    </row>
    <row r="317" spans="9:14" s="135" customFormat="1">
      <c r="I317" s="143"/>
      <c r="K317" s="143"/>
      <c r="L317" s="143"/>
      <c r="M317" s="143"/>
      <c r="N317" s="143"/>
    </row>
    <row r="318" spans="9:14" s="135" customFormat="1">
      <c r="I318" s="143"/>
      <c r="K318" s="143"/>
      <c r="L318" s="143"/>
      <c r="M318" s="143"/>
      <c r="N318" s="143"/>
    </row>
    <row r="319" spans="9:14" s="135" customFormat="1">
      <c r="I319" s="143"/>
      <c r="K319" s="143"/>
      <c r="L319" s="143"/>
      <c r="M319" s="143"/>
      <c r="N319" s="143"/>
    </row>
    <row r="320" spans="9:14" s="135" customFormat="1">
      <c r="I320" s="143"/>
      <c r="K320" s="143"/>
      <c r="L320" s="143"/>
      <c r="M320" s="143"/>
      <c r="N320" s="143"/>
    </row>
    <row r="321" spans="9:14" s="135" customFormat="1">
      <c r="I321" s="143"/>
      <c r="K321" s="143"/>
      <c r="L321" s="143"/>
      <c r="M321" s="143"/>
      <c r="N321" s="143"/>
    </row>
    <row r="322" spans="9:14" s="135" customFormat="1">
      <c r="I322" s="143"/>
      <c r="K322" s="143"/>
      <c r="L322" s="143"/>
      <c r="M322" s="143"/>
      <c r="N322" s="143"/>
    </row>
    <row r="323" spans="9:14" s="135" customFormat="1">
      <c r="I323" s="143"/>
      <c r="K323" s="143"/>
      <c r="L323" s="143"/>
      <c r="M323" s="143"/>
      <c r="N323" s="143"/>
    </row>
    <row r="324" spans="9:14" s="135" customFormat="1">
      <c r="I324" s="143"/>
      <c r="K324" s="143"/>
      <c r="L324" s="143"/>
      <c r="M324" s="143"/>
      <c r="N324" s="143"/>
    </row>
    <row r="325" spans="9:14" s="135" customFormat="1">
      <c r="I325" s="143"/>
      <c r="K325" s="143"/>
      <c r="L325" s="143"/>
      <c r="M325" s="143"/>
      <c r="N325" s="143"/>
    </row>
    <row r="326" spans="9:14" s="135" customFormat="1">
      <c r="I326" s="143"/>
      <c r="K326" s="143"/>
      <c r="L326" s="143"/>
      <c r="M326" s="143"/>
      <c r="N326" s="143"/>
    </row>
    <row r="327" spans="9:14" s="135" customFormat="1">
      <c r="I327" s="143"/>
      <c r="K327" s="143"/>
      <c r="L327" s="143"/>
      <c r="M327" s="143"/>
      <c r="N327" s="143"/>
    </row>
    <row r="328" spans="9:14" s="135" customFormat="1">
      <c r="I328" s="143"/>
      <c r="K328" s="143"/>
      <c r="L328" s="143"/>
      <c r="M328" s="143"/>
      <c r="N328" s="143"/>
    </row>
    <row r="329" spans="9:14" s="135" customFormat="1">
      <c r="I329" s="143"/>
      <c r="K329" s="143"/>
      <c r="L329" s="143"/>
      <c r="M329" s="143"/>
      <c r="N329" s="143"/>
    </row>
    <row r="330" spans="9:14" s="135" customFormat="1">
      <c r="I330" s="143"/>
      <c r="K330" s="143"/>
      <c r="L330" s="143"/>
      <c r="M330" s="143"/>
      <c r="N330" s="143"/>
    </row>
    <row r="331" spans="9:14" s="135" customFormat="1">
      <c r="I331" s="143"/>
      <c r="K331" s="143"/>
      <c r="L331" s="143"/>
      <c r="M331" s="143"/>
      <c r="N331" s="143"/>
    </row>
    <row r="332" spans="9:14" s="135" customFormat="1">
      <c r="I332" s="143"/>
      <c r="K332" s="143"/>
      <c r="L332" s="143"/>
      <c r="M332" s="143"/>
      <c r="N332" s="143"/>
    </row>
    <row r="333" spans="9:14" s="135" customFormat="1">
      <c r="I333" s="143"/>
      <c r="K333" s="143"/>
      <c r="L333" s="143"/>
      <c r="M333" s="143"/>
      <c r="N333" s="143"/>
    </row>
    <row r="334" spans="9:14" s="135" customFormat="1">
      <c r="I334" s="143"/>
      <c r="K334" s="143"/>
      <c r="L334" s="143"/>
      <c r="M334" s="143"/>
      <c r="N334" s="143"/>
    </row>
    <row r="335" spans="9:14" s="135" customFormat="1">
      <c r="I335" s="143"/>
      <c r="K335" s="143"/>
      <c r="L335" s="143"/>
      <c r="M335" s="143"/>
      <c r="N335" s="143"/>
    </row>
    <row r="336" spans="9:14" s="135" customFormat="1">
      <c r="I336" s="143"/>
      <c r="K336" s="143"/>
      <c r="L336" s="143"/>
      <c r="M336" s="143"/>
      <c r="N336" s="143"/>
    </row>
    <row r="337" spans="9:14" s="135" customFormat="1">
      <c r="I337" s="143"/>
      <c r="K337" s="143"/>
      <c r="L337" s="143"/>
      <c r="M337" s="143"/>
      <c r="N337" s="143"/>
    </row>
    <row r="338" spans="9:14" s="135" customFormat="1">
      <c r="I338" s="143"/>
      <c r="K338" s="143"/>
      <c r="L338" s="143"/>
      <c r="M338" s="143"/>
      <c r="N338" s="143"/>
    </row>
    <row r="339" spans="9:14" s="135" customFormat="1">
      <c r="I339" s="143"/>
      <c r="K339" s="143"/>
      <c r="L339" s="143"/>
      <c r="M339" s="143"/>
      <c r="N339" s="143"/>
    </row>
    <row r="340" spans="9:14" s="135" customFormat="1">
      <c r="I340" s="143"/>
      <c r="K340" s="143"/>
      <c r="L340" s="143"/>
      <c r="M340" s="143"/>
      <c r="N340" s="143"/>
    </row>
    <row r="341" spans="9:14" s="135" customFormat="1">
      <c r="I341" s="143"/>
      <c r="K341" s="143"/>
      <c r="L341" s="143"/>
      <c r="M341" s="143"/>
      <c r="N341" s="143"/>
    </row>
    <row r="342" spans="9:14" s="135" customFormat="1">
      <c r="I342" s="143"/>
      <c r="K342" s="143"/>
      <c r="L342" s="143"/>
      <c r="M342" s="143"/>
      <c r="N342" s="143"/>
    </row>
    <row r="343" spans="9:14" s="135" customFormat="1">
      <c r="I343" s="143"/>
      <c r="K343" s="143"/>
      <c r="L343" s="143"/>
      <c r="M343" s="143"/>
      <c r="N343" s="143"/>
    </row>
    <row r="344" spans="9:14" s="135" customFormat="1">
      <c r="I344" s="143"/>
      <c r="K344" s="143"/>
      <c r="L344" s="143"/>
      <c r="M344" s="143"/>
      <c r="N344" s="143"/>
    </row>
    <row r="345" spans="9:14" s="135" customFormat="1">
      <c r="I345" s="143"/>
      <c r="K345" s="143"/>
      <c r="L345" s="143"/>
      <c r="M345" s="143"/>
      <c r="N345" s="143"/>
    </row>
    <row r="346" spans="9:14" s="135" customFormat="1">
      <c r="I346" s="143"/>
      <c r="K346" s="143"/>
      <c r="L346" s="143"/>
      <c r="M346" s="143"/>
      <c r="N346" s="143"/>
    </row>
    <row r="347" spans="9:14" s="135" customFormat="1">
      <c r="I347" s="143"/>
      <c r="K347" s="143"/>
      <c r="L347" s="143"/>
      <c r="M347" s="143"/>
      <c r="N347" s="143"/>
    </row>
    <row r="348" spans="9:14" s="135" customFormat="1">
      <c r="I348" s="143"/>
      <c r="K348" s="143"/>
      <c r="L348" s="143"/>
      <c r="M348" s="143"/>
      <c r="N348" s="143"/>
    </row>
    <row r="349" spans="9:14" s="135" customFormat="1">
      <c r="I349" s="143"/>
      <c r="K349" s="143"/>
      <c r="L349" s="143"/>
      <c r="M349" s="143"/>
      <c r="N349" s="143"/>
    </row>
    <row r="350" spans="9:14" s="135" customFormat="1">
      <c r="I350" s="143"/>
      <c r="K350" s="143"/>
      <c r="L350" s="143"/>
      <c r="M350" s="143"/>
      <c r="N350" s="143"/>
    </row>
    <row r="351" spans="9:14" s="135" customFormat="1">
      <c r="I351" s="143"/>
      <c r="K351" s="143"/>
      <c r="L351" s="143"/>
      <c r="M351" s="143"/>
      <c r="N351" s="143"/>
    </row>
    <row r="352" spans="9:14" s="135" customFormat="1">
      <c r="I352" s="143"/>
      <c r="K352" s="143"/>
      <c r="L352" s="143"/>
      <c r="M352" s="143"/>
      <c r="N352" s="143"/>
    </row>
    <row r="353" spans="9:14" s="135" customFormat="1">
      <c r="I353" s="143"/>
      <c r="K353" s="143"/>
      <c r="L353" s="143"/>
      <c r="M353" s="143"/>
      <c r="N353" s="143"/>
    </row>
    <row r="354" spans="9:14" s="135" customFormat="1">
      <c r="I354" s="143"/>
      <c r="K354" s="143"/>
      <c r="L354" s="143"/>
      <c r="M354" s="143"/>
      <c r="N354" s="143"/>
    </row>
    <row r="355" spans="9:14" s="135" customFormat="1">
      <c r="I355" s="143"/>
      <c r="K355" s="143"/>
      <c r="L355" s="143"/>
      <c r="M355" s="143"/>
      <c r="N355" s="143"/>
    </row>
    <row r="356" spans="9:14" s="135" customFormat="1">
      <c r="I356" s="143"/>
      <c r="K356" s="143"/>
      <c r="L356" s="143"/>
      <c r="M356" s="143"/>
      <c r="N356" s="143"/>
    </row>
    <row r="357" spans="9:14" s="135" customFormat="1">
      <c r="I357" s="143"/>
      <c r="K357" s="143"/>
      <c r="L357" s="143"/>
      <c r="M357" s="143"/>
      <c r="N357" s="143"/>
    </row>
    <row r="358" spans="9:14" s="135" customFormat="1">
      <c r="I358" s="143"/>
      <c r="K358" s="143"/>
      <c r="L358" s="143"/>
      <c r="M358" s="143"/>
      <c r="N358" s="143"/>
    </row>
    <row r="359" spans="9:14" s="135" customFormat="1">
      <c r="I359" s="143"/>
      <c r="K359" s="143"/>
      <c r="L359" s="143"/>
      <c r="M359" s="143"/>
      <c r="N359" s="143"/>
    </row>
    <row r="360" spans="9:14" s="135" customFormat="1">
      <c r="I360" s="143"/>
      <c r="K360" s="143"/>
      <c r="L360" s="143"/>
      <c r="M360" s="143"/>
      <c r="N360" s="143"/>
    </row>
    <row r="361" spans="9:14" s="135" customFormat="1">
      <c r="I361" s="143"/>
      <c r="K361" s="143"/>
      <c r="L361" s="143"/>
      <c r="M361" s="143"/>
      <c r="N361" s="143"/>
    </row>
    <row r="362" spans="9:14" s="135" customFormat="1">
      <c r="I362" s="143"/>
      <c r="K362" s="143"/>
      <c r="L362" s="143"/>
      <c r="M362" s="143"/>
      <c r="N362" s="143"/>
    </row>
    <row r="363" spans="9:14" s="135" customFormat="1">
      <c r="I363" s="143"/>
      <c r="K363" s="143"/>
      <c r="L363" s="143"/>
      <c r="M363" s="143"/>
      <c r="N363" s="143"/>
    </row>
    <row r="364" spans="9:14" s="135" customFormat="1">
      <c r="I364" s="143"/>
      <c r="K364" s="143"/>
      <c r="L364" s="143"/>
      <c r="M364" s="143"/>
      <c r="N364" s="143"/>
    </row>
    <row r="365" spans="9:14" s="135" customFormat="1">
      <c r="I365" s="143"/>
      <c r="K365" s="143"/>
      <c r="L365" s="143"/>
      <c r="M365" s="143"/>
      <c r="N365" s="143"/>
    </row>
    <row r="366" spans="9:14" s="135" customFormat="1">
      <c r="I366" s="143"/>
      <c r="K366" s="143"/>
      <c r="L366" s="143"/>
      <c r="M366" s="143"/>
      <c r="N366" s="143"/>
    </row>
    <row r="367" spans="9:14" s="135" customFormat="1">
      <c r="I367" s="143"/>
      <c r="K367" s="143"/>
      <c r="L367" s="143"/>
      <c r="M367" s="143"/>
      <c r="N367" s="143"/>
    </row>
    <row r="368" spans="9:14" s="135" customFormat="1">
      <c r="I368" s="143"/>
      <c r="K368" s="143"/>
      <c r="L368" s="143"/>
      <c r="M368" s="143"/>
      <c r="N368" s="143"/>
    </row>
    <row r="369" spans="9:14" s="135" customFormat="1">
      <c r="I369" s="143"/>
      <c r="K369" s="143"/>
      <c r="L369" s="143"/>
      <c r="M369" s="143"/>
      <c r="N369" s="143"/>
    </row>
    <row r="370" spans="9:14" s="135" customFormat="1">
      <c r="I370" s="143"/>
      <c r="K370" s="143"/>
      <c r="L370" s="143"/>
      <c r="M370" s="143"/>
      <c r="N370" s="143"/>
    </row>
    <row r="371" spans="9:14" s="135" customFormat="1">
      <c r="I371" s="143"/>
      <c r="K371" s="143"/>
      <c r="L371" s="143"/>
      <c r="M371" s="143"/>
      <c r="N371" s="143"/>
    </row>
    <row r="372" spans="9:14" s="135" customFormat="1">
      <c r="I372" s="143"/>
      <c r="K372" s="143"/>
      <c r="L372" s="143"/>
      <c r="M372" s="143"/>
      <c r="N372" s="143"/>
    </row>
    <row r="373" spans="9:14" s="135" customFormat="1">
      <c r="I373" s="143"/>
      <c r="K373" s="143"/>
      <c r="L373" s="143"/>
      <c r="M373" s="143"/>
      <c r="N373" s="143"/>
    </row>
    <row r="374" spans="9:14" s="135" customFormat="1">
      <c r="I374" s="143"/>
      <c r="K374" s="143"/>
      <c r="L374" s="143"/>
      <c r="M374" s="143"/>
      <c r="N374" s="143"/>
    </row>
    <row r="375" spans="9:14" s="135" customFormat="1">
      <c r="I375" s="143"/>
      <c r="K375" s="143"/>
      <c r="L375" s="143"/>
      <c r="M375" s="143"/>
      <c r="N375" s="143"/>
    </row>
    <row r="376" spans="9:14" s="135" customFormat="1">
      <c r="I376" s="143"/>
      <c r="K376" s="143"/>
      <c r="L376" s="143"/>
      <c r="M376" s="143"/>
      <c r="N376" s="143"/>
    </row>
    <row r="377" spans="9:14" s="135" customFormat="1">
      <c r="I377" s="143"/>
      <c r="K377" s="143"/>
      <c r="L377" s="143"/>
      <c r="M377" s="143"/>
      <c r="N377" s="143"/>
    </row>
    <row r="378" spans="9:14" s="135" customFormat="1">
      <c r="I378" s="143"/>
      <c r="K378" s="143"/>
      <c r="L378" s="143"/>
      <c r="M378" s="143"/>
      <c r="N378" s="143"/>
    </row>
    <row r="379" spans="9:14" s="135" customFormat="1">
      <c r="I379" s="143"/>
      <c r="K379" s="143"/>
      <c r="L379" s="143"/>
      <c r="M379" s="143"/>
      <c r="N379" s="143"/>
    </row>
    <row r="380" spans="9:14" s="135" customFormat="1">
      <c r="I380" s="143"/>
      <c r="K380" s="143"/>
      <c r="L380" s="143"/>
      <c r="M380" s="143"/>
      <c r="N380" s="143"/>
    </row>
    <row r="381" spans="9:14" s="135" customFormat="1">
      <c r="I381" s="143"/>
      <c r="K381" s="143"/>
      <c r="L381" s="143"/>
      <c r="M381" s="143"/>
      <c r="N381" s="143"/>
    </row>
    <row r="382" spans="9:14" s="135" customFormat="1">
      <c r="I382" s="143"/>
      <c r="K382" s="143"/>
      <c r="L382" s="143"/>
      <c r="M382" s="143"/>
      <c r="N382" s="143"/>
    </row>
    <row r="383" spans="9:14" s="135" customFormat="1">
      <c r="I383" s="143"/>
      <c r="K383" s="143"/>
      <c r="L383" s="143"/>
      <c r="M383" s="143"/>
      <c r="N383" s="143"/>
    </row>
    <row r="384" spans="9:14" s="135" customFormat="1">
      <c r="I384" s="143"/>
      <c r="K384" s="143"/>
      <c r="L384" s="143"/>
      <c r="M384" s="143"/>
      <c r="N384" s="143"/>
    </row>
    <row r="385" spans="9:14" s="135" customFormat="1">
      <c r="I385" s="143"/>
      <c r="K385" s="143"/>
      <c r="L385" s="143"/>
      <c r="M385" s="143"/>
      <c r="N385" s="143"/>
    </row>
    <row r="386" spans="9:14" s="135" customFormat="1">
      <c r="I386" s="143"/>
      <c r="K386" s="143"/>
      <c r="L386" s="143"/>
      <c r="M386" s="143"/>
      <c r="N386" s="143"/>
    </row>
    <row r="387" spans="9:14" s="135" customFormat="1">
      <c r="I387" s="143"/>
      <c r="K387" s="143"/>
      <c r="L387" s="143"/>
      <c r="M387" s="143"/>
      <c r="N387" s="143"/>
    </row>
    <row r="388" spans="9:14" s="135" customFormat="1">
      <c r="I388" s="143"/>
      <c r="K388" s="143"/>
      <c r="L388" s="143"/>
      <c r="M388" s="143"/>
      <c r="N388" s="143"/>
    </row>
    <row r="389" spans="9:14" s="135" customFormat="1">
      <c r="I389" s="143"/>
      <c r="K389" s="143"/>
      <c r="L389" s="143"/>
      <c r="M389" s="143"/>
      <c r="N389" s="143"/>
    </row>
    <row r="390" spans="9:14" s="135" customFormat="1">
      <c r="I390" s="143"/>
      <c r="K390" s="143"/>
      <c r="L390" s="143"/>
      <c r="M390" s="143"/>
      <c r="N390" s="143"/>
    </row>
    <row r="391" spans="9:14" s="135" customFormat="1">
      <c r="I391" s="143"/>
      <c r="K391" s="143"/>
      <c r="L391" s="143"/>
      <c r="M391" s="143"/>
      <c r="N391" s="143"/>
    </row>
    <row r="392" spans="9:14" s="135" customFormat="1">
      <c r="I392" s="143"/>
      <c r="K392" s="143"/>
      <c r="L392" s="143"/>
      <c r="M392" s="143"/>
      <c r="N392" s="143"/>
    </row>
    <row r="393" spans="9:14" s="135" customFormat="1">
      <c r="I393" s="143"/>
      <c r="K393" s="143"/>
      <c r="L393" s="143"/>
      <c r="M393" s="143"/>
      <c r="N393" s="143"/>
    </row>
    <row r="394" spans="9:14" s="135" customFormat="1">
      <c r="I394" s="143"/>
      <c r="K394" s="143"/>
      <c r="L394" s="143"/>
      <c r="M394" s="143"/>
      <c r="N394" s="143"/>
    </row>
    <row r="395" spans="9:14" s="135" customFormat="1">
      <c r="I395" s="143"/>
      <c r="K395" s="143"/>
      <c r="L395" s="143"/>
      <c r="M395" s="143"/>
      <c r="N395" s="143"/>
    </row>
    <row r="396" spans="9:14" s="135" customFormat="1">
      <c r="I396" s="143"/>
      <c r="K396" s="143"/>
      <c r="L396" s="143"/>
      <c r="M396" s="143"/>
      <c r="N396" s="143"/>
    </row>
    <row r="397" spans="9:14" s="135" customFormat="1">
      <c r="I397" s="143"/>
      <c r="K397" s="143"/>
      <c r="L397" s="143"/>
      <c r="M397" s="143"/>
      <c r="N397" s="143"/>
    </row>
    <row r="398" spans="9:14" s="135" customFormat="1">
      <c r="I398" s="143"/>
      <c r="K398" s="143"/>
      <c r="L398" s="143"/>
      <c r="M398" s="143"/>
      <c r="N398" s="143"/>
    </row>
    <row r="399" spans="9:14" s="135" customFormat="1">
      <c r="I399" s="143"/>
      <c r="K399" s="143"/>
      <c r="L399" s="143"/>
      <c r="M399" s="143"/>
      <c r="N399" s="143"/>
    </row>
    <row r="400" spans="9:14" s="135" customFormat="1">
      <c r="I400" s="143"/>
      <c r="K400" s="143"/>
      <c r="L400" s="143"/>
      <c r="M400" s="143"/>
      <c r="N400" s="143"/>
    </row>
    <row r="401" spans="9:14" s="135" customFormat="1">
      <c r="I401" s="143"/>
      <c r="K401" s="143"/>
      <c r="L401" s="143"/>
      <c r="M401" s="143"/>
      <c r="N401" s="143"/>
    </row>
    <row r="402" spans="9:14" s="135" customFormat="1">
      <c r="I402" s="143"/>
      <c r="K402" s="143"/>
      <c r="L402" s="143"/>
      <c r="M402" s="143"/>
      <c r="N402" s="143"/>
    </row>
    <row r="403" spans="9:14" s="135" customFormat="1">
      <c r="I403" s="143"/>
      <c r="K403" s="143"/>
      <c r="L403" s="143"/>
      <c r="M403" s="143"/>
      <c r="N403" s="143"/>
    </row>
    <row r="404" spans="9:14" s="135" customFormat="1">
      <c r="I404" s="143"/>
      <c r="K404" s="143"/>
      <c r="L404" s="143"/>
      <c r="M404" s="143"/>
      <c r="N404" s="143"/>
    </row>
    <row r="405" spans="9:14" s="135" customFormat="1">
      <c r="I405" s="143"/>
      <c r="K405" s="143"/>
      <c r="L405" s="143"/>
      <c r="M405" s="143"/>
      <c r="N405" s="143"/>
    </row>
    <row r="406" spans="9:14" s="135" customFormat="1">
      <c r="I406" s="143"/>
      <c r="K406" s="143"/>
      <c r="L406" s="143"/>
      <c r="M406" s="143"/>
      <c r="N406" s="143"/>
    </row>
    <row r="407" spans="9:14" s="135" customFormat="1">
      <c r="I407" s="143"/>
      <c r="K407" s="143"/>
      <c r="L407" s="143"/>
      <c r="M407" s="143"/>
      <c r="N407" s="143"/>
    </row>
    <row r="408" spans="9:14" s="135" customFormat="1">
      <c r="I408" s="143"/>
      <c r="K408" s="143"/>
      <c r="L408" s="143"/>
      <c r="M408" s="143"/>
      <c r="N408" s="143"/>
    </row>
    <row r="409" spans="9:14" s="135" customFormat="1">
      <c r="I409" s="143"/>
      <c r="K409" s="143"/>
      <c r="L409" s="143"/>
      <c r="M409" s="143"/>
      <c r="N409" s="143"/>
    </row>
    <row r="410" spans="9:14" s="135" customFormat="1">
      <c r="I410" s="143"/>
      <c r="K410" s="143"/>
      <c r="L410" s="143"/>
      <c r="M410" s="143"/>
      <c r="N410" s="143"/>
    </row>
    <row r="411" spans="9:14" s="135" customFormat="1">
      <c r="I411" s="143"/>
      <c r="K411" s="143"/>
      <c r="L411" s="143"/>
      <c r="M411" s="143"/>
      <c r="N411" s="143"/>
    </row>
    <row r="412" spans="9:14" s="135" customFormat="1">
      <c r="I412" s="143"/>
      <c r="K412" s="143"/>
      <c r="L412" s="143"/>
      <c r="M412" s="143"/>
      <c r="N412" s="143"/>
    </row>
    <row r="413" spans="9:14" s="135" customFormat="1">
      <c r="I413" s="143"/>
      <c r="K413" s="143"/>
      <c r="L413" s="143"/>
      <c r="M413" s="143"/>
      <c r="N413" s="143"/>
    </row>
    <row r="414" spans="9:14" s="135" customFormat="1">
      <c r="I414" s="143"/>
      <c r="K414" s="143"/>
      <c r="L414" s="143"/>
      <c r="M414" s="143"/>
      <c r="N414" s="143"/>
    </row>
    <row r="415" spans="9:14" s="135" customFormat="1">
      <c r="I415" s="143"/>
      <c r="K415" s="143"/>
      <c r="L415" s="143"/>
      <c r="M415" s="143"/>
      <c r="N415" s="143"/>
    </row>
    <row r="416" spans="9:14" s="135" customFormat="1">
      <c r="I416" s="143"/>
      <c r="K416" s="143"/>
      <c r="L416" s="143"/>
      <c r="M416" s="143"/>
      <c r="N416" s="143"/>
    </row>
    <row r="417" spans="9:14" s="135" customFormat="1">
      <c r="I417" s="143"/>
      <c r="K417" s="143"/>
      <c r="L417" s="143"/>
      <c r="M417" s="143"/>
      <c r="N417" s="143"/>
    </row>
    <row r="418" spans="9:14" s="135" customFormat="1">
      <c r="I418" s="143"/>
      <c r="K418" s="143"/>
      <c r="L418" s="143"/>
      <c r="M418" s="143"/>
      <c r="N418" s="143"/>
    </row>
    <row r="419" spans="9:14" s="135" customFormat="1">
      <c r="I419" s="143"/>
      <c r="K419" s="143"/>
      <c r="L419" s="143"/>
      <c r="M419" s="143"/>
      <c r="N419" s="143"/>
    </row>
    <row r="420" spans="9:14" s="135" customFormat="1">
      <c r="I420" s="143"/>
      <c r="K420" s="143"/>
      <c r="L420" s="143"/>
      <c r="M420" s="143"/>
      <c r="N420" s="143"/>
    </row>
    <row r="421" spans="9:14" s="135" customFormat="1">
      <c r="I421" s="143"/>
      <c r="K421" s="143"/>
      <c r="L421" s="143"/>
      <c r="M421" s="143"/>
      <c r="N421" s="143"/>
    </row>
    <row r="422" spans="9:14" s="135" customFormat="1">
      <c r="I422" s="143"/>
      <c r="K422" s="143"/>
      <c r="L422" s="143"/>
      <c r="M422" s="143"/>
      <c r="N422" s="143"/>
    </row>
    <row r="423" spans="9:14" s="135" customFormat="1">
      <c r="I423" s="143"/>
      <c r="K423" s="143"/>
      <c r="L423" s="143"/>
      <c r="M423" s="143"/>
      <c r="N423" s="143"/>
    </row>
    <row r="424" spans="9:14" s="135" customFormat="1">
      <c r="I424" s="143"/>
      <c r="K424" s="143"/>
      <c r="L424" s="143"/>
      <c r="M424" s="143"/>
      <c r="N424" s="143"/>
    </row>
    <row r="425" spans="9:14" s="135" customFormat="1">
      <c r="I425" s="143"/>
      <c r="K425" s="143"/>
      <c r="L425" s="143"/>
      <c r="M425" s="143"/>
      <c r="N425" s="143"/>
    </row>
    <row r="426" spans="9:14" s="135" customFormat="1">
      <c r="I426" s="143"/>
      <c r="K426" s="143"/>
      <c r="L426" s="143"/>
      <c r="M426" s="143"/>
      <c r="N426" s="143"/>
    </row>
    <row r="427" spans="9:14" s="135" customFormat="1">
      <c r="I427" s="143"/>
      <c r="K427" s="143"/>
      <c r="L427" s="143"/>
      <c r="M427" s="143"/>
      <c r="N427" s="143"/>
    </row>
    <row r="428" spans="9:14" s="135" customFormat="1">
      <c r="I428" s="143"/>
      <c r="K428" s="143"/>
      <c r="L428" s="143"/>
      <c r="M428" s="143"/>
      <c r="N428" s="143"/>
    </row>
    <row r="429" spans="9:14" s="135" customFormat="1">
      <c r="I429" s="143"/>
      <c r="K429" s="143"/>
      <c r="L429" s="143"/>
      <c r="M429" s="143"/>
      <c r="N429" s="143"/>
    </row>
    <row r="430" spans="9:14" s="135" customFormat="1">
      <c r="I430" s="143"/>
      <c r="K430" s="143"/>
      <c r="L430" s="143"/>
      <c r="M430" s="143"/>
      <c r="N430" s="143"/>
    </row>
    <row r="431" spans="9:14" s="135" customFormat="1">
      <c r="I431" s="143"/>
      <c r="K431" s="143"/>
      <c r="L431" s="143"/>
      <c r="M431" s="143"/>
      <c r="N431" s="143"/>
    </row>
    <row r="432" spans="9:14" s="135" customFormat="1">
      <c r="I432" s="143"/>
      <c r="K432" s="143"/>
      <c r="L432" s="143"/>
      <c r="M432" s="143"/>
      <c r="N432" s="143"/>
    </row>
    <row r="433" spans="9:14" s="135" customFormat="1">
      <c r="I433" s="143"/>
      <c r="K433" s="143"/>
      <c r="L433" s="143"/>
      <c r="M433" s="143"/>
      <c r="N433" s="143"/>
    </row>
    <row r="434" spans="9:14" s="135" customFormat="1">
      <c r="I434" s="143"/>
      <c r="K434" s="143"/>
      <c r="L434" s="143"/>
      <c r="M434" s="143"/>
      <c r="N434" s="143"/>
    </row>
    <row r="435" spans="9:14" s="135" customFormat="1">
      <c r="I435" s="143"/>
      <c r="K435" s="143"/>
      <c r="L435" s="143"/>
      <c r="M435" s="143"/>
      <c r="N435" s="143"/>
    </row>
    <row r="436" spans="9:14" s="135" customFormat="1">
      <c r="I436" s="143"/>
      <c r="K436" s="143"/>
      <c r="L436" s="143"/>
      <c r="M436" s="143"/>
      <c r="N436" s="143"/>
    </row>
    <row r="437" spans="9:14" s="135" customFormat="1">
      <c r="I437" s="143"/>
      <c r="K437" s="143"/>
      <c r="L437" s="143"/>
      <c r="M437" s="143"/>
      <c r="N437" s="143"/>
    </row>
    <row r="438" spans="9:14" s="135" customFormat="1">
      <c r="I438" s="143"/>
      <c r="K438" s="143"/>
      <c r="L438" s="143"/>
      <c r="M438" s="143"/>
      <c r="N438" s="143"/>
    </row>
    <row r="439" spans="9:14" s="135" customFormat="1">
      <c r="I439" s="143"/>
      <c r="K439" s="143"/>
      <c r="L439" s="143"/>
      <c r="M439" s="143"/>
      <c r="N439" s="143"/>
    </row>
    <row r="440" spans="9:14" s="135" customFormat="1">
      <c r="I440" s="143"/>
      <c r="K440" s="143"/>
      <c r="L440" s="143"/>
      <c r="M440" s="143"/>
      <c r="N440" s="143"/>
    </row>
    <row r="441" spans="9:14" s="135" customFormat="1">
      <c r="I441" s="143"/>
      <c r="K441" s="143"/>
      <c r="L441" s="143"/>
      <c r="M441" s="143"/>
      <c r="N441" s="143"/>
    </row>
    <row r="442" spans="9:14" s="135" customFormat="1">
      <c r="I442" s="143"/>
      <c r="K442" s="143"/>
      <c r="L442" s="143"/>
      <c r="M442" s="143"/>
      <c r="N442" s="143"/>
    </row>
    <row r="443" spans="9:14" s="135" customFormat="1">
      <c r="I443" s="143"/>
      <c r="K443" s="143"/>
      <c r="L443" s="143"/>
      <c r="M443" s="143"/>
      <c r="N443" s="143"/>
    </row>
    <row r="444" spans="9:14" s="135" customFormat="1">
      <c r="I444" s="143"/>
      <c r="K444" s="143"/>
      <c r="L444" s="143"/>
      <c r="M444" s="143"/>
      <c r="N444" s="143"/>
    </row>
    <row r="445" spans="9:14" s="135" customFormat="1">
      <c r="I445" s="143"/>
      <c r="K445" s="143"/>
      <c r="L445" s="143"/>
      <c r="M445" s="143"/>
      <c r="N445" s="143"/>
    </row>
    <row r="446" spans="9:14" s="135" customFormat="1">
      <c r="I446" s="143"/>
      <c r="K446" s="143"/>
      <c r="L446" s="143"/>
      <c r="M446" s="143"/>
      <c r="N446" s="143"/>
    </row>
    <row r="447" spans="9:14" s="135" customFormat="1">
      <c r="I447" s="143"/>
      <c r="K447" s="143"/>
      <c r="L447" s="143"/>
      <c r="M447" s="143"/>
      <c r="N447" s="143"/>
    </row>
    <row r="448" spans="9:14" s="135" customFormat="1">
      <c r="I448" s="143"/>
      <c r="K448" s="143"/>
      <c r="L448" s="143"/>
      <c r="M448" s="143"/>
      <c r="N448" s="143"/>
    </row>
    <row r="449" spans="9:14" s="135" customFormat="1">
      <c r="I449" s="143"/>
      <c r="K449" s="143"/>
      <c r="L449" s="143"/>
      <c r="M449" s="143"/>
      <c r="N449" s="143"/>
    </row>
    <row r="450" spans="9:14" s="135" customFormat="1">
      <c r="I450" s="143"/>
      <c r="K450" s="143"/>
      <c r="L450" s="143"/>
      <c r="M450" s="143"/>
      <c r="N450" s="143"/>
    </row>
    <row r="451" spans="9:14" s="135" customFormat="1">
      <c r="I451" s="143"/>
      <c r="K451" s="143"/>
      <c r="L451" s="143"/>
      <c r="M451" s="143"/>
      <c r="N451" s="143"/>
    </row>
    <row r="452" spans="9:14" s="135" customFormat="1">
      <c r="I452" s="143"/>
      <c r="K452" s="143"/>
      <c r="L452" s="143"/>
      <c r="M452" s="143"/>
      <c r="N452" s="143"/>
    </row>
    <row r="453" spans="9:14" s="135" customFormat="1">
      <c r="I453" s="143"/>
      <c r="K453" s="143"/>
      <c r="L453" s="143"/>
      <c r="M453" s="143"/>
      <c r="N453" s="143"/>
    </row>
    <row r="454" spans="9:14" s="135" customFormat="1">
      <c r="I454" s="143"/>
      <c r="K454" s="143"/>
      <c r="L454" s="143"/>
      <c r="M454" s="143"/>
      <c r="N454" s="143"/>
    </row>
    <row r="455" spans="9:14" s="135" customFormat="1">
      <c r="I455" s="143"/>
      <c r="K455" s="143"/>
      <c r="L455" s="143"/>
      <c r="M455" s="143"/>
      <c r="N455" s="143"/>
    </row>
    <row r="456" spans="9:14" s="135" customFormat="1">
      <c r="I456" s="143"/>
      <c r="K456" s="143"/>
      <c r="L456" s="143"/>
      <c r="M456" s="143"/>
      <c r="N456" s="143"/>
    </row>
    <row r="457" spans="9:14" s="135" customFormat="1">
      <c r="I457" s="143"/>
      <c r="K457" s="143"/>
      <c r="L457" s="143"/>
      <c r="M457" s="143"/>
      <c r="N457" s="143"/>
    </row>
    <row r="458" spans="9:14" s="135" customFormat="1">
      <c r="I458" s="143"/>
      <c r="K458" s="143"/>
      <c r="L458" s="143"/>
      <c r="M458" s="143"/>
      <c r="N458" s="143"/>
    </row>
    <row r="459" spans="9:14" s="135" customFormat="1">
      <c r="I459" s="143"/>
      <c r="K459" s="143"/>
      <c r="L459" s="143"/>
      <c r="M459" s="143"/>
      <c r="N459" s="143"/>
    </row>
    <row r="460" spans="9:14" s="135" customFormat="1">
      <c r="I460" s="143"/>
      <c r="K460" s="143"/>
      <c r="L460" s="143"/>
      <c r="M460" s="143"/>
      <c r="N460" s="143"/>
    </row>
    <row r="461" spans="9:14" s="135" customFormat="1">
      <c r="I461" s="143"/>
      <c r="K461" s="143"/>
      <c r="L461" s="143"/>
      <c r="M461" s="143"/>
      <c r="N461" s="143"/>
    </row>
    <row r="462" spans="9:14" s="135" customFormat="1">
      <c r="I462" s="143"/>
      <c r="K462" s="143"/>
      <c r="L462" s="143"/>
      <c r="M462" s="143"/>
      <c r="N462" s="143"/>
    </row>
    <row r="463" spans="9:14" s="135" customFormat="1">
      <c r="I463" s="143"/>
      <c r="K463" s="143"/>
      <c r="L463" s="143"/>
      <c r="M463" s="143"/>
      <c r="N463" s="143"/>
    </row>
    <row r="464" spans="9:14" s="135" customFormat="1">
      <c r="I464" s="143"/>
      <c r="K464" s="143"/>
      <c r="L464" s="143"/>
      <c r="M464" s="143"/>
      <c r="N464" s="143"/>
    </row>
    <row r="465" spans="9:14" s="135" customFormat="1">
      <c r="I465" s="143"/>
      <c r="K465" s="143"/>
      <c r="L465" s="143"/>
      <c r="M465" s="143"/>
      <c r="N465" s="143"/>
    </row>
    <row r="466" spans="9:14" s="135" customFormat="1">
      <c r="I466" s="143"/>
      <c r="K466" s="143"/>
      <c r="L466" s="143"/>
      <c r="M466" s="143"/>
      <c r="N466" s="143"/>
    </row>
    <row r="467" spans="9:14" s="135" customFormat="1">
      <c r="I467" s="143"/>
      <c r="K467" s="143"/>
      <c r="L467" s="143"/>
      <c r="M467" s="143"/>
      <c r="N467" s="143"/>
    </row>
    <row r="468" spans="9:14" s="135" customFormat="1">
      <c r="I468" s="143"/>
      <c r="K468" s="143"/>
      <c r="L468" s="143"/>
      <c r="M468" s="143"/>
      <c r="N468" s="143"/>
    </row>
    <row r="469" spans="9:14" s="135" customFormat="1">
      <c r="I469" s="143"/>
      <c r="K469" s="143"/>
      <c r="L469" s="143"/>
      <c r="M469" s="143"/>
      <c r="N469" s="143"/>
    </row>
    <row r="470" spans="9:14" s="135" customFormat="1">
      <c r="I470" s="143"/>
      <c r="K470" s="143"/>
      <c r="L470" s="143"/>
      <c r="M470" s="143"/>
      <c r="N470" s="143"/>
    </row>
    <row r="471" spans="9:14" s="135" customFormat="1">
      <c r="I471" s="143"/>
      <c r="K471" s="143"/>
      <c r="L471" s="143"/>
      <c r="M471" s="143"/>
      <c r="N471" s="143"/>
    </row>
    <row r="472" spans="9:14" s="135" customFormat="1">
      <c r="I472" s="143"/>
      <c r="K472" s="143"/>
      <c r="L472" s="143"/>
      <c r="M472" s="143"/>
      <c r="N472" s="143"/>
    </row>
    <row r="473" spans="9:14" s="135" customFormat="1">
      <c r="I473" s="143"/>
      <c r="K473" s="143"/>
      <c r="L473" s="143"/>
      <c r="M473" s="143"/>
      <c r="N473" s="143"/>
    </row>
    <row r="474" spans="9:14" s="135" customFormat="1">
      <c r="I474" s="143"/>
      <c r="K474" s="143"/>
      <c r="L474" s="143"/>
      <c r="M474" s="143"/>
      <c r="N474" s="143"/>
    </row>
    <row r="475" spans="9:14" s="135" customFormat="1">
      <c r="I475" s="143"/>
      <c r="K475" s="143"/>
      <c r="L475" s="143"/>
      <c r="M475" s="143"/>
      <c r="N475" s="143"/>
    </row>
    <row r="476" spans="9:14" s="135" customFormat="1">
      <c r="I476" s="143"/>
      <c r="K476" s="143"/>
      <c r="L476" s="143"/>
      <c r="M476" s="143"/>
      <c r="N476" s="143"/>
    </row>
    <row r="477" spans="9:14" s="135" customFormat="1">
      <c r="I477" s="143"/>
      <c r="K477" s="143"/>
      <c r="L477" s="143"/>
      <c r="M477" s="143"/>
      <c r="N477" s="143"/>
    </row>
    <row r="478" spans="9:14" s="135" customFormat="1">
      <c r="I478" s="143"/>
      <c r="K478" s="143"/>
      <c r="L478" s="143"/>
      <c r="M478" s="143"/>
      <c r="N478" s="143"/>
    </row>
    <row r="479" spans="9:14" s="135" customFormat="1">
      <c r="I479" s="143"/>
      <c r="K479" s="143"/>
      <c r="L479" s="143"/>
      <c r="M479" s="143"/>
      <c r="N479" s="143"/>
    </row>
    <row r="480" spans="9:14" s="135" customFormat="1">
      <c r="I480" s="143"/>
      <c r="K480" s="143"/>
      <c r="L480" s="143"/>
      <c r="M480" s="143"/>
      <c r="N480" s="143"/>
    </row>
    <row r="481" spans="9:14" s="135" customFormat="1">
      <c r="I481" s="143"/>
      <c r="K481" s="143"/>
      <c r="L481" s="143"/>
      <c r="M481" s="143"/>
      <c r="N481" s="143"/>
    </row>
    <row r="482" spans="9:14" s="135" customFormat="1">
      <c r="I482" s="143"/>
      <c r="K482" s="143"/>
      <c r="L482" s="143"/>
      <c r="M482" s="143"/>
      <c r="N482" s="143"/>
    </row>
    <row r="483" spans="9:14" s="135" customFormat="1">
      <c r="I483" s="143"/>
      <c r="K483" s="143"/>
      <c r="L483" s="143"/>
      <c r="M483" s="143"/>
      <c r="N483" s="143"/>
    </row>
    <row r="484" spans="9:14" s="135" customFormat="1">
      <c r="I484" s="143"/>
      <c r="K484" s="143"/>
      <c r="L484" s="143"/>
      <c r="M484" s="143"/>
      <c r="N484" s="143"/>
    </row>
    <row r="485" spans="9:14" s="135" customFormat="1">
      <c r="I485" s="143"/>
      <c r="K485" s="143"/>
      <c r="L485" s="143"/>
      <c r="M485" s="143"/>
      <c r="N485" s="143"/>
    </row>
    <row r="486" spans="9:14" s="135" customFormat="1">
      <c r="I486" s="143"/>
      <c r="K486" s="143"/>
      <c r="L486" s="143"/>
      <c r="M486" s="143"/>
      <c r="N486" s="143"/>
    </row>
    <row r="487" spans="9:14" s="135" customFormat="1">
      <c r="I487" s="143"/>
      <c r="K487" s="143"/>
      <c r="L487" s="143"/>
      <c r="M487" s="143"/>
      <c r="N487" s="143"/>
    </row>
    <row r="488" spans="9:14" s="135" customFormat="1">
      <c r="I488" s="143"/>
      <c r="K488" s="143"/>
      <c r="L488" s="143"/>
      <c r="M488" s="143"/>
      <c r="N488" s="143"/>
    </row>
    <row r="489" spans="9:14" s="135" customFormat="1">
      <c r="I489" s="143"/>
      <c r="K489" s="143"/>
      <c r="L489" s="143"/>
      <c r="M489" s="143"/>
      <c r="N489" s="143"/>
    </row>
    <row r="490" spans="9:14" s="135" customFormat="1">
      <c r="I490" s="143"/>
      <c r="K490" s="143"/>
      <c r="L490" s="143"/>
      <c r="M490" s="143"/>
      <c r="N490" s="143"/>
    </row>
    <row r="491" spans="9:14" s="135" customFormat="1">
      <c r="I491" s="143"/>
      <c r="K491" s="143"/>
      <c r="L491" s="143"/>
      <c r="M491" s="143"/>
      <c r="N491" s="143"/>
    </row>
    <row r="492" spans="9:14" s="135" customFormat="1">
      <c r="I492" s="143"/>
      <c r="K492" s="143"/>
      <c r="L492" s="143"/>
      <c r="M492" s="143"/>
      <c r="N492" s="143"/>
    </row>
    <row r="493" spans="9:14" s="135" customFormat="1">
      <c r="I493" s="143"/>
      <c r="K493" s="143"/>
      <c r="L493" s="143"/>
      <c r="M493" s="143"/>
      <c r="N493" s="143"/>
    </row>
    <row r="494" spans="9:14" s="135" customFormat="1">
      <c r="I494" s="143"/>
      <c r="K494" s="143"/>
      <c r="L494" s="143"/>
      <c r="M494" s="143"/>
      <c r="N494" s="143"/>
    </row>
    <row r="495" spans="9:14" s="135" customFormat="1">
      <c r="I495" s="143"/>
      <c r="K495" s="143"/>
      <c r="L495" s="143"/>
      <c r="M495" s="143"/>
      <c r="N495" s="143"/>
    </row>
    <row r="496" spans="9:14" s="135" customFormat="1">
      <c r="I496" s="143"/>
      <c r="K496" s="143"/>
      <c r="L496" s="143"/>
      <c r="M496" s="143"/>
      <c r="N496" s="143"/>
    </row>
    <row r="497" spans="9:14" s="135" customFormat="1">
      <c r="I497" s="143"/>
      <c r="K497" s="143"/>
      <c r="L497" s="143"/>
      <c r="M497" s="143"/>
      <c r="N497" s="143"/>
    </row>
    <row r="498" spans="9:14" s="135" customFormat="1">
      <c r="I498" s="143"/>
      <c r="K498" s="143"/>
      <c r="L498" s="143"/>
      <c r="M498" s="143"/>
      <c r="N498" s="143"/>
    </row>
    <row r="499" spans="9:14" s="135" customFormat="1">
      <c r="I499" s="143"/>
      <c r="K499" s="143"/>
      <c r="L499" s="143"/>
      <c r="M499" s="143"/>
      <c r="N499" s="143"/>
    </row>
    <row r="500" spans="9:14" s="135" customFormat="1">
      <c r="I500" s="143"/>
      <c r="K500" s="143"/>
      <c r="L500" s="143"/>
      <c r="M500" s="143"/>
      <c r="N500" s="143"/>
    </row>
    <row r="501" spans="9:14" s="135" customFormat="1">
      <c r="I501" s="143"/>
      <c r="K501" s="143"/>
      <c r="L501" s="143"/>
      <c r="M501" s="143"/>
      <c r="N501" s="143"/>
    </row>
    <row r="502" spans="9:14" s="135" customFormat="1">
      <c r="I502" s="143"/>
      <c r="K502" s="143"/>
      <c r="L502" s="143"/>
      <c r="M502" s="143"/>
      <c r="N502" s="143"/>
    </row>
    <row r="503" spans="9:14" s="135" customFormat="1">
      <c r="I503" s="143"/>
      <c r="K503" s="143"/>
      <c r="L503" s="143"/>
      <c r="M503" s="143"/>
      <c r="N503" s="143"/>
    </row>
    <row r="504" spans="9:14" s="135" customFormat="1">
      <c r="I504" s="143"/>
      <c r="K504" s="143"/>
      <c r="L504" s="143"/>
      <c r="M504" s="143"/>
      <c r="N504" s="143"/>
    </row>
    <row r="505" spans="9:14" s="135" customFormat="1">
      <c r="I505" s="143"/>
      <c r="K505" s="143"/>
      <c r="L505" s="143"/>
      <c r="M505" s="143"/>
      <c r="N505" s="143"/>
    </row>
    <row r="506" spans="9:14" s="135" customFormat="1">
      <c r="I506" s="143"/>
      <c r="K506" s="143"/>
      <c r="L506" s="143"/>
      <c r="M506" s="143"/>
      <c r="N506" s="143"/>
    </row>
    <row r="507" spans="9:14" s="135" customFormat="1">
      <c r="I507" s="143"/>
      <c r="K507" s="143"/>
      <c r="L507" s="143"/>
      <c r="M507" s="143"/>
      <c r="N507" s="143"/>
    </row>
    <row r="508" spans="9:14" s="135" customFormat="1">
      <c r="I508" s="143"/>
      <c r="K508" s="143"/>
      <c r="L508" s="143"/>
      <c r="M508" s="143"/>
      <c r="N508" s="143"/>
    </row>
    <row r="509" spans="9:14" s="135" customFormat="1">
      <c r="I509" s="143"/>
      <c r="K509" s="143"/>
      <c r="L509" s="143"/>
      <c r="M509" s="143"/>
      <c r="N509" s="143"/>
    </row>
    <row r="510" spans="9:14" s="135" customFormat="1">
      <c r="I510" s="143"/>
      <c r="K510" s="143"/>
      <c r="L510" s="143"/>
      <c r="M510" s="143"/>
      <c r="N510" s="143"/>
    </row>
    <row r="511" spans="9:14" s="135" customFormat="1">
      <c r="I511" s="143"/>
      <c r="K511" s="143"/>
      <c r="L511" s="143"/>
      <c r="M511" s="143"/>
      <c r="N511" s="143"/>
    </row>
    <row r="512" spans="9:14" s="135" customFormat="1">
      <c r="I512" s="143"/>
      <c r="K512" s="143"/>
      <c r="L512" s="143"/>
      <c r="M512" s="143"/>
      <c r="N512" s="143"/>
    </row>
    <row r="513" spans="9:14" s="135" customFormat="1">
      <c r="I513" s="143"/>
      <c r="K513" s="143"/>
      <c r="L513" s="143"/>
      <c r="M513" s="143"/>
      <c r="N513" s="143"/>
    </row>
    <row r="514" spans="9:14" s="135" customFormat="1">
      <c r="I514" s="143"/>
      <c r="K514" s="143"/>
      <c r="L514" s="143"/>
      <c r="M514" s="143"/>
      <c r="N514" s="143"/>
    </row>
    <row r="515" spans="9:14" s="135" customFormat="1">
      <c r="I515" s="143"/>
      <c r="K515" s="143"/>
      <c r="L515" s="143"/>
      <c r="M515" s="143"/>
      <c r="N515" s="143"/>
    </row>
    <row r="516" spans="9:14" s="135" customFormat="1">
      <c r="I516" s="143"/>
      <c r="K516" s="143"/>
      <c r="L516" s="143"/>
      <c r="M516" s="143"/>
      <c r="N516" s="143"/>
    </row>
    <row r="517" spans="9:14" s="135" customFormat="1">
      <c r="I517" s="143"/>
      <c r="K517" s="143"/>
      <c r="L517" s="143"/>
      <c r="M517" s="143"/>
      <c r="N517" s="143"/>
    </row>
    <row r="518" spans="9:14" s="135" customFormat="1">
      <c r="I518" s="143"/>
      <c r="K518" s="143"/>
      <c r="L518" s="143"/>
      <c r="M518" s="143"/>
      <c r="N518" s="143"/>
    </row>
    <row r="519" spans="9:14" s="135" customFormat="1">
      <c r="I519" s="143"/>
      <c r="K519" s="143"/>
      <c r="L519" s="143"/>
      <c r="M519" s="143"/>
      <c r="N519" s="143"/>
    </row>
    <row r="520" spans="9:14" s="135" customFormat="1">
      <c r="I520" s="143"/>
      <c r="K520" s="143"/>
      <c r="L520" s="143"/>
      <c r="M520" s="143"/>
      <c r="N520" s="143"/>
    </row>
    <row r="521" spans="9:14" s="135" customFormat="1">
      <c r="I521" s="143"/>
      <c r="K521" s="143"/>
      <c r="L521" s="143"/>
      <c r="M521" s="143"/>
      <c r="N521" s="143"/>
    </row>
    <row r="522" spans="9:14" s="135" customFormat="1">
      <c r="I522" s="143"/>
      <c r="K522" s="143"/>
      <c r="L522" s="143"/>
      <c r="M522" s="143"/>
      <c r="N522" s="143"/>
    </row>
    <row r="523" spans="9:14" s="135" customFormat="1">
      <c r="I523" s="143"/>
      <c r="K523" s="143"/>
      <c r="L523" s="143"/>
      <c r="M523" s="143"/>
      <c r="N523" s="143"/>
    </row>
    <row r="524" spans="9:14" s="135" customFormat="1">
      <c r="I524" s="143"/>
      <c r="K524" s="143"/>
      <c r="L524" s="143"/>
      <c r="M524" s="143"/>
      <c r="N524" s="143"/>
    </row>
    <row r="525" spans="9:14" s="135" customFormat="1">
      <c r="I525" s="143"/>
      <c r="K525" s="143"/>
      <c r="L525" s="143"/>
      <c r="M525" s="143"/>
      <c r="N525" s="143"/>
    </row>
    <row r="526" spans="9:14" s="135" customFormat="1">
      <c r="I526" s="143"/>
      <c r="K526" s="143"/>
      <c r="L526" s="143"/>
      <c r="M526" s="143"/>
      <c r="N526" s="143"/>
    </row>
    <row r="527" spans="9:14" s="135" customFormat="1">
      <c r="I527" s="143"/>
      <c r="K527" s="143"/>
      <c r="L527" s="143"/>
      <c r="M527" s="143"/>
      <c r="N527" s="143"/>
    </row>
    <row r="528" spans="9:14" s="135" customFormat="1">
      <c r="I528" s="143"/>
      <c r="K528" s="143"/>
      <c r="L528" s="143"/>
      <c r="M528" s="143"/>
      <c r="N528" s="143"/>
    </row>
    <row r="529" spans="9:14" s="135" customFormat="1">
      <c r="I529" s="143"/>
      <c r="K529" s="143"/>
      <c r="L529" s="143"/>
      <c r="M529" s="143"/>
      <c r="N529" s="143"/>
    </row>
    <row r="530" spans="9:14" s="135" customFormat="1">
      <c r="I530" s="143"/>
      <c r="K530" s="143"/>
      <c r="L530" s="143"/>
      <c r="M530" s="143"/>
      <c r="N530" s="143"/>
    </row>
    <row r="531" spans="9:14" s="135" customFormat="1">
      <c r="I531" s="143"/>
      <c r="K531" s="143"/>
      <c r="L531" s="143"/>
      <c r="M531" s="143"/>
      <c r="N531" s="143"/>
    </row>
    <row r="532" spans="9:14" s="135" customFormat="1">
      <c r="I532" s="143"/>
      <c r="K532" s="143"/>
      <c r="L532" s="143"/>
      <c r="M532" s="143"/>
      <c r="N532" s="143"/>
    </row>
    <row r="533" spans="9:14" s="135" customFormat="1">
      <c r="I533" s="143"/>
      <c r="K533" s="143"/>
      <c r="L533" s="143"/>
      <c r="M533" s="143"/>
      <c r="N533" s="143"/>
    </row>
    <row r="534" spans="9:14" s="135" customFormat="1">
      <c r="I534" s="143"/>
      <c r="K534" s="143"/>
      <c r="L534" s="143"/>
      <c r="M534" s="143"/>
      <c r="N534" s="143"/>
    </row>
    <row r="535" spans="9:14" s="135" customFormat="1">
      <c r="I535" s="143"/>
      <c r="K535" s="143"/>
      <c r="L535" s="143"/>
      <c r="M535" s="143"/>
      <c r="N535" s="143"/>
    </row>
    <row r="536" spans="9:14" s="135" customFormat="1">
      <c r="I536" s="143"/>
      <c r="K536" s="143"/>
      <c r="L536" s="143"/>
      <c r="M536" s="143"/>
      <c r="N536" s="143"/>
    </row>
    <row r="537" spans="9:14" s="135" customFormat="1">
      <c r="I537" s="143"/>
      <c r="K537" s="143"/>
      <c r="L537" s="143"/>
      <c r="M537" s="143"/>
      <c r="N537" s="143"/>
    </row>
    <row r="538" spans="9:14" s="135" customFormat="1">
      <c r="I538" s="143"/>
      <c r="K538" s="143"/>
      <c r="L538" s="143"/>
      <c r="M538" s="143"/>
      <c r="N538" s="143"/>
    </row>
    <row r="539" spans="9:14" s="135" customFormat="1">
      <c r="I539" s="143"/>
      <c r="K539" s="143"/>
      <c r="L539" s="143"/>
      <c r="M539" s="143"/>
      <c r="N539" s="143"/>
    </row>
    <row r="540" spans="9:14" s="135" customFormat="1">
      <c r="I540" s="143"/>
      <c r="K540" s="143"/>
      <c r="L540" s="143"/>
      <c r="M540" s="143"/>
      <c r="N540" s="143"/>
    </row>
    <row r="541" spans="9:14" s="135" customFormat="1">
      <c r="I541" s="143"/>
      <c r="K541" s="143"/>
      <c r="L541" s="143"/>
      <c r="M541" s="143"/>
      <c r="N541" s="143"/>
    </row>
    <row r="542" spans="9:14" s="135" customFormat="1">
      <c r="I542" s="143"/>
      <c r="K542" s="143"/>
      <c r="L542" s="143"/>
      <c r="M542" s="143"/>
      <c r="N542" s="143"/>
    </row>
    <row r="543" spans="9:14" s="135" customFormat="1">
      <c r="I543" s="143"/>
      <c r="K543" s="143"/>
      <c r="L543" s="143"/>
      <c r="M543" s="143"/>
      <c r="N543" s="143"/>
    </row>
    <row r="544" spans="9:14" s="135" customFormat="1">
      <c r="I544" s="143"/>
      <c r="K544" s="143"/>
      <c r="L544" s="143"/>
      <c r="M544" s="143"/>
      <c r="N544" s="143"/>
    </row>
    <row r="545" spans="9:14" s="135" customFormat="1">
      <c r="I545" s="143"/>
      <c r="K545" s="143"/>
      <c r="L545" s="143"/>
      <c r="M545" s="143"/>
      <c r="N545" s="143"/>
    </row>
    <row r="546" spans="9:14" s="135" customFormat="1">
      <c r="I546" s="143"/>
      <c r="K546" s="143"/>
      <c r="L546" s="143"/>
      <c r="M546" s="143"/>
      <c r="N546" s="143"/>
    </row>
    <row r="547" spans="9:14" s="135" customFormat="1">
      <c r="I547" s="143"/>
      <c r="K547" s="143"/>
      <c r="L547" s="143"/>
      <c r="M547" s="143"/>
      <c r="N547" s="143"/>
    </row>
    <row r="548" spans="9:14" s="135" customFormat="1">
      <c r="I548" s="143"/>
      <c r="K548" s="143"/>
      <c r="L548" s="143"/>
      <c r="M548" s="143"/>
      <c r="N548" s="143"/>
    </row>
    <row r="549" spans="9:14" s="135" customFormat="1">
      <c r="I549" s="143"/>
      <c r="K549" s="143"/>
      <c r="L549" s="143"/>
      <c r="M549" s="143"/>
      <c r="N549" s="143"/>
    </row>
    <row r="550" spans="9:14" s="135" customFormat="1">
      <c r="I550" s="143"/>
      <c r="K550" s="143"/>
      <c r="L550" s="143"/>
      <c r="M550" s="143"/>
      <c r="N550" s="143"/>
    </row>
    <row r="551" spans="9:14" s="135" customFormat="1">
      <c r="I551" s="143"/>
      <c r="K551" s="143"/>
      <c r="L551" s="143"/>
      <c r="M551" s="143"/>
      <c r="N551" s="143"/>
    </row>
    <row r="552" spans="9:14" s="135" customFormat="1">
      <c r="I552" s="143"/>
      <c r="K552" s="143"/>
      <c r="L552" s="143"/>
      <c r="M552" s="143"/>
      <c r="N552" s="143"/>
    </row>
    <row r="553" spans="9:14" s="135" customFormat="1">
      <c r="I553" s="143"/>
      <c r="K553" s="143"/>
      <c r="L553" s="143"/>
      <c r="M553" s="143"/>
      <c r="N553" s="143"/>
    </row>
    <row r="554" spans="9:14" s="135" customFormat="1">
      <c r="I554" s="143"/>
      <c r="K554" s="143"/>
      <c r="L554" s="143"/>
      <c r="M554" s="143"/>
      <c r="N554" s="143"/>
    </row>
    <row r="555" spans="9:14" s="135" customFormat="1">
      <c r="I555" s="143"/>
      <c r="K555" s="143"/>
      <c r="L555" s="143"/>
      <c r="M555" s="143"/>
      <c r="N555" s="143"/>
    </row>
    <row r="556" spans="9:14" s="135" customFormat="1">
      <c r="I556" s="143"/>
      <c r="K556" s="143"/>
      <c r="L556" s="143"/>
      <c r="M556" s="143"/>
      <c r="N556" s="143"/>
    </row>
    <row r="557" spans="9:14" s="135" customFormat="1">
      <c r="I557" s="143"/>
      <c r="K557" s="143"/>
      <c r="L557" s="143"/>
      <c r="M557" s="143"/>
      <c r="N557" s="143"/>
    </row>
    <row r="558" spans="9:14" s="135" customFormat="1">
      <c r="I558" s="143"/>
      <c r="K558" s="143"/>
      <c r="L558" s="143"/>
      <c r="M558" s="143"/>
      <c r="N558" s="143"/>
    </row>
    <row r="559" spans="9:14" s="135" customFormat="1">
      <c r="I559" s="143"/>
      <c r="K559" s="143"/>
      <c r="L559" s="143"/>
      <c r="M559" s="143"/>
      <c r="N559" s="143"/>
    </row>
    <row r="560" spans="9:14" s="135" customFormat="1">
      <c r="I560" s="143"/>
      <c r="K560" s="143"/>
      <c r="L560" s="143"/>
      <c r="M560" s="143"/>
      <c r="N560" s="143"/>
    </row>
    <row r="561" spans="9:14" s="135" customFormat="1">
      <c r="I561" s="143"/>
      <c r="K561" s="143"/>
      <c r="L561" s="143"/>
      <c r="M561" s="143"/>
      <c r="N561" s="143"/>
    </row>
    <row r="562" spans="9:14" s="135" customFormat="1">
      <c r="I562" s="143"/>
      <c r="K562" s="143"/>
      <c r="L562" s="143"/>
      <c r="M562" s="143"/>
      <c r="N562" s="143"/>
    </row>
    <row r="563" spans="9:14" s="135" customFormat="1">
      <c r="I563" s="143"/>
      <c r="K563" s="143"/>
      <c r="L563" s="143"/>
      <c r="M563" s="143"/>
      <c r="N563" s="143"/>
    </row>
    <row r="564" spans="9:14" s="135" customFormat="1">
      <c r="I564" s="143"/>
      <c r="K564" s="143"/>
      <c r="L564" s="143"/>
      <c r="M564" s="143"/>
      <c r="N564" s="143"/>
    </row>
    <row r="565" spans="9:14" s="135" customFormat="1">
      <c r="I565" s="143"/>
      <c r="K565" s="143"/>
      <c r="L565" s="143"/>
      <c r="M565" s="143"/>
      <c r="N565" s="143"/>
    </row>
    <row r="566" spans="9:14" s="135" customFormat="1">
      <c r="I566" s="143"/>
      <c r="K566" s="143"/>
      <c r="L566" s="143"/>
      <c r="M566" s="143"/>
      <c r="N566" s="143"/>
    </row>
    <row r="567" spans="9:14" s="135" customFormat="1">
      <c r="I567" s="143"/>
      <c r="K567" s="143"/>
      <c r="L567" s="143"/>
      <c r="M567" s="143"/>
      <c r="N567" s="143"/>
    </row>
    <row r="568" spans="9:14" s="135" customFormat="1">
      <c r="I568" s="143"/>
      <c r="K568" s="143"/>
      <c r="L568" s="143"/>
      <c r="M568" s="143"/>
      <c r="N568" s="143"/>
    </row>
    <row r="569" spans="9:14" s="135" customFormat="1">
      <c r="I569" s="143"/>
      <c r="K569" s="143"/>
      <c r="L569" s="143"/>
      <c r="M569" s="143"/>
      <c r="N569" s="143"/>
    </row>
    <row r="570" spans="9:14" s="135" customFormat="1">
      <c r="I570" s="143"/>
      <c r="K570" s="143"/>
      <c r="L570" s="143"/>
      <c r="M570" s="143"/>
      <c r="N570" s="143"/>
    </row>
    <row r="571" spans="9:14" s="135" customFormat="1">
      <c r="I571" s="143"/>
      <c r="K571" s="143"/>
      <c r="L571" s="143"/>
      <c r="M571" s="143"/>
      <c r="N571" s="143"/>
    </row>
    <row r="572" spans="9:14" s="135" customFormat="1">
      <c r="I572" s="143"/>
      <c r="K572" s="143"/>
      <c r="L572" s="143"/>
      <c r="M572" s="143"/>
      <c r="N572" s="143"/>
    </row>
    <row r="573" spans="9:14" s="135" customFormat="1">
      <c r="I573" s="143"/>
      <c r="K573" s="143"/>
      <c r="L573" s="143"/>
      <c r="M573" s="143"/>
      <c r="N573" s="143"/>
    </row>
    <row r="574" spans="9:14" s="135" customFormat="1">
      <c r="I574" s="143"/>
      <c r="K574" s="143"/>
      <c r="L574" s="143"/>
      <c r="M574" s="143"/>
      <c r="N574" s="143"/>
    </row>
    <row r="575" spans="9:14" s="135" customFormat="1">
      <c r="I575" s="143"/>
      <c r="K575" s="143"/>
      <c r="L575" s="143"/>
      <c r="M575" s="143"/>
      <c r="N575" s="143"/>
    </row>
    <row r="576" spans="9:14" s="135" customFormat="1">
      <c r="I576" s="143"/>
      <c r="K576" s="143"/>
      <c r="L576" s="143"/>
      <c r="M576" s="143"/>
      <c r="N576" s="143"/>
    </row>
    <row r="577" spans="9:14" s="135" customFormat="1">
      <c r="I577" s="143"/>
      <c r="K577" s="143"/>
      <c r="L577" s="143"/>
      <c r="M577" s="143"/>
      <c r="N577" s="143"/>
    </row>
    <row r="578" spans="9:14" s="135" customFormat="1">
      <c r="I578" s="143"/>
      <c r="K578" s="143"/>
      <c r="L578" s="143"/>
      <c r="M578" s="143"/>
      <c r="N578" s="143"/>
    </row>
    <row r="579" spans="9:14" s="135" customFormat="1">
      <c r="I579" s="143"/>
      <c r="K579" s="143"/>
      <c r="L579" s="143"/>
      <c r="M579" s="143"/>
      <c r="N579" s="143"/>
    </row>
    <row r="580" spans="9:14" s="135" customFormat="1">
      <c r="I580" s="143"/>
      <c r="K580" s="143"/>
      <c r="L580" s="143"/>
      <c r="M580" s="143"/>
      <c r="N580" s="143"/>
    </row>
    <row r="581" spans="9:14" s="135" customFormat="1">
      <c r="I581" s="143"/>
      <c r="K581" s="143"/>
      <c r="L581" s="143"/>
      <c r="M581" s="143"/>
      <c r="N581" s="143"/>
    </row>
    <row r="582" spans="9:14" s="135" customFormat="1">
      <c r="I582" s="143"/>
      <c r="K582" s="143"/>
      <c r="L582" s="143"/>
      <c r="M582" s="143"/>
      <c r="N582" s="143"/>
    </row>
    <row r="583" spans="9:14" s="135" customFormat="1">
      <c r="I583" s="143"/>
      <c r="K583" s="143"/>
      <c r="L583" s="143"/>
      <c r="M583" s="143"/>
      <c r="N583" s="143"/>
    </row>
    <row r="584" spans="9:14" s="135" customFormat="1">
      <c r="I584" s="143"/>
      <c r="K584" s="143"/>
      <c r="L584" s="143"/>
      <c r="M584" s="143"/>
      <c r="N584" s="143"/>
    </row>
    <row r="585" spans="9:14" s="135" customFormat="1">
      <c r="I585" s="143"/>
      <c r="K585" s="143"/>
      <c r="L585" s="143"/>
      <c r="M585" s="143"/>
      <c r="N585" s="143"/>
    </row>
    <row r="586" spans="9:14" s="135" customFormat="1">
      <c r="I586" s="143"/>
      <c r="K586" s="143"/>
      <c r="L586" s="143"/>
      <c r="M586" s="143"/>
      <c r="N586" s="143"/>
    </row>
    <row r="587" spans="9:14" s="135" customFormat="1">
      <c r="I587" s="143"/>
      <c r="K587" s="143"/>
      <c r="L587" s="143"/>
      <c r="M587" s="143"/>
      <c r="N587" s="143"/>
    </row>
    <row r="588" spans="9:14" s="135" customFormat="1">
      <c r="I588" s="143"/>
      <c r="K588" s="143"/>
      <c r="L588" s="143"/>
      <c r="M588" s="143"/>
      <c r="N588" s="143"/>
    </row>
    <row r="589" spans="9:14" s="135" customFormat="1">
      <c r="I589" s="143"/>
      <c r="K589" s="143"/>
      <c r="L589" s="143"/>
      <c r="M589" s="143"/>
      <c r="N589" s="143"/>
    </row>
    <row r="590" spans="9:14" s="135" customFormat="1">
      <c r="I590" s="143"/>
      <c r="K590" s="143"/>
      <c r="L590" s="143"/>
      <c r="M590" s="143"/>
      <c r="N590" s="143"/>
    </row>
    <row r="591" spans="9:14" s="135" customFormat="1">
      <c r="I591" s="143"/>
      <c r="K591" s="143"/>
      <c r="L591" s="143"/>
      <c r="M591" s="143"/>
      <c r="N591" s="143"/>
    </row>
    <row r="592" spans="9:14" s="135" customFormat="1">
      <c r="I592" s="143"/>
      <c r="K592" s="143"/>
      <c r="L592" s="143"/>
      <c r="M592" s="143"/>
      <c r="N592" s="143"/>
    </row>
    <row r="593" spans="9:14" s="135" customFormat="1">
      <c r="I593" s="143"/>
      <c r="K593" s="143"/>
      <c r="L593" s="143"/>
      <c r="M593" s="143"/>
      <c r="N593" s="143"/>
    </row>
    <row r="594" spans="9:14" s="135" customFormat="1">
      <c r="I594" s="143"/>
      <c r="K594" s="143"/>
      <c r="L594" s="143"/>
      <c r="M594" s="143"/>
      <c r="N594" s="143"/>
    </row>
    <row r="595" spans="9:14" s="135" customFormat="1">
      <c r="I595" s="143"/>
      <c r="K595" s="143"/>
      <c r="L595" s="143"/>
      <c r="M595" s="143"/>
      <c r="N595" s="143"/>
    </row>
    <row r="596" spans="9:14" s="135" customFormat="1">
      <c r="I596" s="143"/>
      <c r="K596" s="143"/>
      <c r="L596" s="143"/>
      <c r="M596" s="143"/>
      <c r="N596" s="143"/>
    </row>
    <row r="597" spans="9:14" s="135" customFormat="1">
      <c r="I597" s="143"/>
      <c r="K597" s="143"/>
      <c r="L597" s="143"/>
      <c r="M597" s="143"/>
      <c r="N597" s="143"/>
    </row>
    <row r="598" spans="9:14" s="135" customFormat="1">
      <c r="I598" s="143"/>
      <c r="K598" s="143"/>
      <c r="L598" s="143"/>
      <c r="M598" s="143"/>
      <c r="N598" s="143"/>
    </row>
    <row r="599" spans="9:14" s="135" customFormat="1">
      <c r="I599" s="143"/>
      <c r="K599" s="143"/>
      <c r="L599" s="143"/>
      <c r="M599" s="143"/>
      <c r="N599" s="143"/>
    </row>
    <row r="600" spans="9:14" s="135" customFormat="1">
      <c r="I600" s="143"/>
      <c r="K600" s="143"/>
      <c r="L600" s="143"/>
      <c r="M600" s="143"/>
      <c r="N600" s="143"/>
    </row>
    <row r="601" spans="9:14" s="135" customFormat="1">
      <c r="I601" s="143"/>
      <c r="K601" s="143"/>
      <c r="L601" s="143"/>
      <c r="M601" s="143"/>
      <c r="N601" s="143"/>
    </row>
    <row r="602" spans="9:14" s="135" customFormat="1">
      <c r="I602" s="143"/>
      <c r="K602" s="143"/>
      <c r="L602" s="143"/>
      <c r="M602" s="143"/>
      <c r="N602" s="143"/>
    </row>
    <row r="603" spans="9:14" s="135" customFormat="1">
      <c r="I603" s="143"/>
      <c r="K603" s="143"/>
      <c r="L603" s="143"/>
      <c r="M603" s="143"/>
      <c r="N603" s="143"/>
    </row>
    <row r="604" spans="9:14" s="135" customFormat="1">
      <c r="I604" s="143"/>
      <c r="K604" s="143"/>
      <c r="L604" s="143"/>
      <c r="M604" s="143"/>
      <c r="N604" s="143"/>
    </row>
    <row r="605" spans="9:14" s="135" customFormat="1">
      <c r="I605" s="143"/>
      <c r="K605" s="143"/>
      <c r="L605" s="143"/>
      <c r="M605" s="143"/>
      <c r="N605" s="143"/>
    </row>
    <row r="606" spans="9:14" s="135" customFormat="1">
      <c r="I606" s="143"/>
      <c r="K606" s="143"/>
      <c r="L606" s="143"/>
      <c r="M606" s="143"/>
      <c r="N606" s="143"/>
    </row>
    <row r="607" spans="9:14" s="135" customFormat="1">
      <c r="I607" s="143"/>
      <c r="K607" s="143"/>
      <c r="L607" s="143"/>
      <c r="M607" s="143"/>
      <c r="N607" s="143"/>
    </row>
    <row r="608" spans="9:14" s="135" customFormat="1">
      <c r="I608" s="143"/>
      <c r="K608" s="143"/>
      <c r="L608" s="143"/>
      <c r="M608" s="143"/>
      <c r="N608" s="143"/>
    </row>
    <row r="609" spans="9:14" s="135" customFormat="1">
      <c r="I609" s="143"/>
      <c r="K609" s="143"/>
      <c r="L609" s="143"/>
      <c r="M609" s="143"/>
      <c r="N609" s="143"/>
    </row>
    <row r="610" spans="9:14" s="135" customFormat="1">
      <c r="I610" s="143"/>
      <c r="K610" s="143"/>
      <c r="L610" s="143"/>
      <c r="M610" s="143"/>
      <c r="N610" s="143"/>
    </row>
    <row r="611" spans="9:14" s="135" customFormat="1">
      <c r="I611" s="143"/>
      <c r="K611" s="143"/>
      <c r="L611" s="143"/>
      <c r="M611" s="143"/>
      <c r="N611" s="143"/>
    </row>
    <row r="612" spans="9:14" s="135" customFormat="1">
      <c r="I612" s="143"/>
      <c r="K612" s="143"/>
      <c r="L612" s="143"/>
      <c r="M612" s="143"/>
      <c r="N612" s="143"/>
    </row>
    <row r="613" spans="9:14" s="135" customFormat="1">
      <c r="I613" s="143"/>
      <c r="K613" s="143"/>
      <c r="L613" s="143"/>
      <c r="M613" s="143"/>
      <c r="N613" s="143"/>
    </row>
    <row r="614" spans="9:14" s="135" customFormat="1">
      <c r="I614" s="143"/>
      <c r="K614" s="143"/>
      <c r="L614" s="143"/>
      <c r="M614" s="143"/>
      <c r="N614" s="143"/>
    </row>
    <row r="615" spans="9:14" s="135" customFormat="1">
      <c r="I615" s="143"/>
      <c r="K615" s="143"/>
      <c r="L615" s="143"/>
      <c r="M615" s="143"/>
      <c r="N615" s="143"/>
    </row>
    <row r="616" spans="9:14" s="135" customFormat="1">
      <c r="I616" s="143"/>
      <c r="K616" s="143"/>
      <c r="L616" s="143"/>
      <c r="M616" s="143"/>
      <c r="N616" s="143"/>
    </row>
    <row r="617" spans="9:14" s="135" customFormat="1">
      <c r="I617" s="143"/>
      <c r="K617" s="143"/>
      <c r="L617" s="143"/>
      <c r="M617" s="143"/>
      <c r="N617" s="143"/>
    </row>
    <row r="618" spans="9:14" s="135" customFormat="1">
      <c r="I618" s="143"/>
      <c r="K618" s="143"/>
      <c r="L618" s="143"/>
      <c r="M618" s="143"/>
      <c r="N618" s="143"/>
    </row>
    <row r="619" spans="9:14" s="135" customFormat="1">
      <c r="I619" s="143"/>
      <c r="K619" s="143"/>
      <c r="L619" s="143"/>
      <c r="M619" s="143"/>
      <c r="N619" s="143"/>
    </row>
    <row r="620" spans="9:14" s="135" customFormat="1">
      <c r="I620" s="143"/>
      <c r="K620" s="143"/>
      <c r="L620" s="143"/>
      <c r="M620" s="143"/>
      <c r="N620" s="143"/>
    </row>
    <row r="621" spans="9:14" s="135" customFormat="1">
      <c r="I621" s="143"/>
      <c r="K621" s="143"/>
      <c r="L621" s="143"/>
      <c r="M621" s="143"/>
      <c r="N621" s="143"/>
    </row>
    <row r="622" spans="9:14" s="135" customFormat="1">
      <c r="I622" s="143"/>
      <c r="K622" s="143"/>
      <c r="L622" s="143"/>
      <c r="M622" s="143"/>
      <c r="N622" s="143"/>
    </row>
    <row r="623" spans="9:14" s="135" customFormat="1">
      <c r="I623" s="143"/>
      <c r="K623" s="143"/>
      <c r="L623" s="143"/>
      <c r="M623" s="143"/>
      <c r="N623" s="143"/>
    </row>
    <row r="624" spans="9:14" s="135" customFormat="1">
      <c r="I624" s="143"/>
      <c r="K624" s="143"/>
      <c r="L624" s="143"/>
      <c r="M624" s="143"/>
      <c r="N624" s="143"/>
    </row>
    <row r="625" spans="9:14" s="135" customFormat="1">
      <c r="I625" s="143"/>
      <c r="K625" s="143"/>
      <c r="L625" s="143"/>
      <c r="M625" s="143"/>
      <c r="N625" s="143"/>
    </row>
    <row r="626" spans="9:14" s="135" customFormat="1">
      <c r="I626" s="143"/>
      <c r="K626" s="143"/>
      <c r="L626" s="143"/>
      <c r="M626" s="143"/>
      <c r="N626" s="143"/>
    </row>
    <row r="627" spans="9:14" s="135" customFormat="1">
      <c r="I627" s="143"/>
      <c r="K627" s="143"/>
      <c r="L627" s="143"/>
      <c r="M627" s="143"/>
      <c r="N627" s="143"/>
    </row>
    <row r="628" spans="9:14" s="135" customFormat="1">
      <c r="I628" s="143"/>
      <c r="K628" s="143"/>
      <c r="L628" s="143"/>
      <c r="M628" s="143"/>
      <c r="N628" s="143"/>
    </row>
    <row r="629" spans="9:14" s="135" customFormat="1">
      <c r="I629" s="143"/>
      <c r="K629" s="143"/>
      <c r="L629" s="143"/>
      <c r="M629" s="143"/>
      <c r="N629" s="143"/>
    </row>
    <row r="630" spans="9:14" s="135" customFormat="1">
      <c r="I630" s="143"/>
      <c r="K630" s="143"/>
      <c r="L630" s="143"/>
      <c r="M630" s="143"/>
      <c r="N630" s="143"/>
    </row>
    <row r="631" spans="9:14" s="135" customFormat="1">
      <c r="I631" s="143"/>
      <c r="K631" s="143"/>
      <c r="L631" s="143"/>
      <c r="M631" s="143"/>
      <c r="N631" s="143"/>
    </row>
    <row r="632" spans="9:14" s="135" customFormat="1">
      <c r="I632" s="143"/>
      <c r="K632" s="143"/>
      <c r="L632" s="143"/>
      <c r="M632" s="143"/>
      <c r="N632" s="143"/>
    </row>
    <row r="633" spans="9:14" s="135" customFormat="1">
      <c r="I633" s="143"/>
      <c r="K633" s="143"/>
      <c r="L633" s="143"/>
      <c r="M633" s="143"/>
      <c r="N633" s="143"/>
    </row>
    <row r="634" spans="9:14" s="135" customFormat="1">
      <c r="I634" s="143"/>
      <c r="K634" s="143"/>
      <c r="L634" s="143"/>
      <c r="M634" s="143"/>
      <c r="N634" s="143"/>
    </row>
    <row r="635" spans="9:14" s="135" customFormat="1">
      <c r="I635" s="143"/>
      <c r="K635" s="143"/>
      <c r="L635" s="143"/>
      <c r="M635" s="143"/>
      <c r="N635" s="143"/>
    </row>
    <row r="636" spans="9:14" s="135" customFormat="1">
      <c r="I636" s="143"/>
      <c r="K636" s="143"/>
      <c r="L636" s="143"/>
      <c r="M636" s="143"/>
      <c r="N636" s="143"/>
    </row>
    <row r="637" spans="9:14" s="135" customFormat="1">
      <c r="I637" s="143"/>
      <c r="K637" s="143"/>
      <c r="L637" s="143"/>
      <c r="M637" s="143"/>
      <c r="N637" s="143"/>
    </row>
    <row r="638" spans="9:14" s="135" customFormat="1">
      <c r="I638" s="143"/>
      <c r="K638" s="143"/>
      <c r="L638" s="143"/>
      <c r="M638" s="143"/>
      <c r="N638" s="143"/>
    </row>
    <row r="639" spans="9:14" s="135" customFormat="1">
      <c r="I639" s="143"/>
      <c r="K639" s="143"/>
      <c r="L639" s="143"/>
      <c r="M639" s="143"/>
      <c r="N639" s="143"/>
    </row>
    <row r="640" spans="9:14" s="135" customFormat="1">
      <c r="I640" s="143"/>
      <c r="K640" s="143"/>
      <c r="L640" s="143"/>
      <c r="M640" s="143"/>
      <c r="N640" s="143"/>
    </row>
  </sheetData>
  <mergeCells count="32">
    <mergeCell ref="L110:L116"/>
    <mergeCell ref="M110:M116"/>
    <mergeCell ref="A129:L129"/>
    <mergeCell ref="A132:K132"/>
    <mergeCell ref="N110:N116"/>
    <mergeCell ref="C111:E111"/>
    <mergeCell ref="G113:H113"/>
    <mergeCell ref="C114:E114"/>
    <mergeCell ref="G115:H115"/>
    <mergeCell ref="C116:E116"/>
    <mergeCell ref="G116:H116"/>
    <mergeCell ref="A28:I28"/>
    <mergeCell ref="E71:H76"/>
    <mergeCell ref="A110:A116"/>
    <mergeCell ref="J110:J116"/>
    <mergeCell ref="K110:K116"/>
    <mergeCell ref="A1:N1"/>
    <mergeCell ref="A2:N2"/>
    <mergeCell ref="J4:K4"/>
    <mergeCell ref="A11:N11"/>
    <mergeCell ref="A127:I127"/>
    <mergeCell ref="J5:K5"/>
    <mergeCell ref="J6:K6"/>
    <mergeCell ref="J7:K7"/>
    <mergeCell ref="J8:K8"/>
    <mergeCell ref="J9:K9"/>
    <mergeCell ref="J10:K10"/>
    <mergeCell ref="A14:J14"/>
    <mergeCell ref="B15:J15"/>
    <mergeCell ref="A17:J17"/>
    <mergeCell ref="A23:I23"/>
    <mergeCell ref="A27:I27"/>
  </mergeCells>
  <dataValidations count="1">
    <dataValidation allowBlank="1" showInputMessage="1" showErrorMessage="1" promptTitle="Orientação de preenchimento" prompt="A data da proposta deve ser informada pela licitante na aba &quot;Memorial&quot;" sqref="L4 J4" xr:uid="{00000000-0002-0000-0900-000000000000}"/>
  </dataValidation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P113"/>
  <sheetViews>
    <sheetView showGridLines="0" topLeftCell="A64" workbookViewId="0">
      <selection activeCell="C40" sqref="C40:C42"/>
    </sheetView>
  </sheetViews>
  <sheetFormatPr defaultColWidth="8" defaultRowHeight="12"/>
  <cols>
    <col min="1" max="1" width="2.375" style="354" customWidth="1"/>
    <col min="2" max="2" width="7.125" style="354" customWidth="1"/>
    <col min="3" max="3" width="24.875" style="354" customWidth="1"/>
    <col min="4" max="4" width="30.125" style="354" customWidth="1"/>
    <col min="5" max="5" width="46.5" style="354" customWidth="1"/>
    <col min="6" max="6" width="57" style="354" customWidth="1"/>
    <col min="7" max="7" width="43.625" style="373" customWidth="1"/>
    <col min="8" max="8" width="12.375" style="354" bestFit="1" customWidth="1"/>
    <col min="9" max="9" width="17" style="354" bestFit="1" customWidth="1"/>
    <col min="10" max="10" width="12" style="354" bestFit="1" customWidth="1"/>
    <col min="11" max="12" width="8.375" style="354" bestFit="1" customWidth="1"/>
    <col min="13" max="13" width="8.875" style="354" bestFit="1" customWidth="1"/>
    <col min="14" max="14" width="8.125" style="354" bestFit="1" customWidth="1"/>
    <col min="15" max="15" width="12.125" style="354" customWidth="1"/>
    <col min="16" max="16384" width="8" style="354"/>
  </cols>
  <sheetData>
    <row r="1" spans="1:11" s="655" customFormat="1" ht="54.75" customHeight="1">
      <c r="A1" s="654"/>
      <c r="B1" s="654"/>
      <c r="C1" s="679" t="s">
        <v>1</v>
      </c>
      <c r="D1" s="679"/>
      <c r="E1" s="679"/>
      <c r="F1" s="679"/>
      <c r="G1" s="354"/>
      <c r="H1" s="354"/>
      <c r="I1" s="354"/>
      <c r="J1" s="596"/>
      <c r="K1" s="596"/>
    </row>
    <row r="2" spans="1:11">
      <c r="B2" s="355"/>
      <c r="C2" s="355"/>
      <c r="D2" s="355"/>
      <c r="E2" s="355"/>
      <c r="F2" s="355"/>
      <c r="G2" s="355"/>
      <c r="H2" s="355"/>
      <c r="I2" s="355"/>
    </row>
    <row r="3" spans="1:11">
      <c r="B3" s="355" t="s">
        <v>1033</v>
      </c>
      <c r="C3" s="355"/>
      <c r="D3" s="355"/>
      <c r="E3" s="355"/>
      <c r="F3" s="355"/>
      <c r="G3" s="355"/>
      <c r="H3" s="355"/>
      <c r="I3" s="355"/>
    </row>
    <row r="4" spans="1:11">
      <c r="B4" s="355"/>
      <c r="C4" s="355"/>
      <c r="D4" s="355"/>
      <c r="E4" s="355"/>
      <c r="F4" s="355"/>
      <c r="G4" s="355"/>
      <c r="H4" s="355"/>
      <c r="I4" s="355"/>
    </row>
    <row r="5" spans="1:11">
      <c r="B5" s="366" t="s">
        <v>1034</v>
      </c>
      <c r="C5" s="377"/>
      <c r="D5" s="377"/>
      <c r="G5" s="354"/>
    </row>
    <row r="6" spans="1:11">
      <c r="B6" s="370">
        <v>1</v>
      </c>
      <c r="C6" s="356" t="s">
        <v>1035</v>
      </c>
      <c r="D6" s="357"/>
      <c r="E6" s="358" t="s">
        <v>1036</v>
      </c>
      <c r="F6" s="358" t="s">
        <v>1037</v>
      </c>
      <c r="G6" s="355"/>
      <c r="H6" s="355"/>
      <c r="I6" s="355"/>
    </row>
    <row r="7" spans="1:11" ht="26.25" customHeight="1">
      <c r="B7" s="359" t="s">
        <v>157</v>
      </c>
      <c r="C7" s="360" t="s">
        <v>831</v>
      </c>
      <c r="D7" s="367" t="s">
        <v>1038</v>
      </c>
      <c r="E7" s="509" t="s">
        <v>157</v>
      </c>
      <c r="F7" s="363" t="s">
        <v>1039</v>
      </c>
      <c r="I7" s="355"/>
    </row>
    <row r="8" spans="1:11" s="514" customFormat="1" ht="17.25" customHeight="1">
      <c r="B8" s="359" t="s">
        <v>159</v>
      </c>
      <c r="C8" s="360" t="s">
        <v>832</v>
      </c>
      <c r="D8" s="510">
        <v>0.3</v>
      </c>
      <c r="E8" s="511" t="s">
        <v>1040</v>
      </c>
      <c r="F8" s="512" t="s">
        <v>1041</v>
      </c>
      <c r="G8" s="513"/>
      <c r="H8" s="513"/>
      <c r="I8" s="513"/>
    </row>
    <row r="9" spans="1:11" ht="68.25" customHeight="1">
      <c r="B9" s="587" t="s">
        <v>161</v>
      </c>
      <c r="C9" s="588" t="s">
        <v>833</v>
      </c>
      <c r="D9" s="589">
        <v>0.2</v>
      </c>
      <c r="E9" s="592" t="s">
        <v>1042</v>
      </c>
      <c r="F9" s="527" t="s">
        <v>1043</v>
      </c>
      <c r="I9" s="355"/>
    </row>
    <row r="10" spans="1:11" ht="75.75" customHeight="1">
      <c r="B10" s="590" t="s">
        <v>165</v>
      </c>
      <c r="C10" s="591" t="s">
        <v>1044</v>
      </c>
      <c r="D10" s="591"/>
      <c r="E10" s="593" t="s">
        <v>1045</v>
      </c>
      <c r="F10" s="527" t="s">
        <v>1046</v>
      </c>
    </row>
    <row r="11" spans="1:11">
      <c r="B11" s="355"/>
      <c r="C11" s="355"/>
      <c r="D11" s="355"/>
      <c r="E11" s="355"/>
      <c r="F11" s="355"/>
      <c r="G11" s="355"/>
      <c r="H11" s="355"/>
      <c r="I11" s="355"/>
    </row>
    <row r="12" spans="1:11">
      <c r="B12" s="355"/>
      <c r="C12" s="355"/>
      <c r="D12" s="355"/>
      <c r="E12" s="355"/>
      <c r="F12" s="355"/>
      <c r="G12" s="355"/>
      <c r="H12" s="355"/>
      <c r="I12" s="355"/>
    </row>
    <row r="13" spans="1:11">
      <c r="B13" s="366" t="s">
        <v>1047</v>
      </c>
      <c r="C13" s="377"/>
      <c r="D13" s="377"/>
      <c r="G13" s="354"/>
    </row>
    <row r="14" spans="1:11">
      <c r="B14" s="366" t="s">
        <v>1048</v>
      </c>
      <c r="C14" s="377"/>
      <c r="D14" s="377"/>
      <c r="G14" s="354"/>
    </row>
    <row r="15" spans="1:11">
      <c r="B15" s="370" t="s">
        <v>261</v>
      </c>
      <c r="C15" s="356" t="s">
        <v>1049</v>
      </c>
      <c r="D15" s="357" t="s">
        <v>1050</v>
      </c>
      <c r="E15" s="358" t="s">
        <v>1036</v>
      </c>
      <c r="F15" s="358" t="s">
        <v>1037</v>
      </c>
      <c r="G15" s="354"/>
    </row>
    <row r="16" spans="1:11" ht="24">
      <c r="B16" s="359" t="s">
        <v>157</v>
      </c>
      <c r="C16" s="360" t="s">
        <v>1049</v>
      </c>
      <c r="D16" s="510">
        <f>ROUND((1/12),4)</f>
        <v>8.3299999999999999E-2</v>
      </c>
      <c r="E16" s="515" t="s">
        <v>1051</v>
      </c>
      <c r="F16" s="516" t="s">
        <v>1052</v>
      </c>
      <c r="G16" s="354"/>
    </row>
    <row r="17" spans="2:9" ht="36">
      <c r="B17" s="359" t="s">
        <v>159</v>
      </c>
      <c r="C17" s="360" t="s">
        <v>1053</v>
      </c>
      <c r="D17" s="510">
        <f>ROUND((1/36),4)</f>
        <v>2.7799999999999998E-2</v>
      </c>
      <c r="E17" s="517" t="s">
        <v>1054</v>
      </c>
      <c r="F17" s="512" t="s">
        <v>1055</v>
      </c>
      <c r="G17" s="354"/>
      <c r="H17" s="372"/>
    </row>
    <row r="18" spans="2:9">
      <c r="B18" s="364" t="s">
        <v>175</v>
      </c>
      <c r="C18" s="364"/>
      <c r="D18" s="365">
        <f>SUM(D16:D17)</f>
        <v>0.1111</v>
      </c>
      <c r="G18" s="354"/>
    </row>
    <row r="19" spans="2:9">
      <c r="B19" s="355"/>
      <c r="C19" s="355"/>
      <c r="D19" s="355"/>
      <c r="E19" s="355"/>
      <c r="F19" s="355"/>
      <c r="G19" s="354"/>
      <c r="H19" s="355"/>
      <c r="I19" s="355"/>
    </row>
    <row r="20" spans="2:9">
      <c r="B20" s="355"/>
      <c r="C20" s="355"/>
      <c r="D20" s="355"/>
      <c r="E20" s="355"/>
      <c r="F20" s="355"/>
      <c r="G20" s="354"/>
      <c r="H20" s="355"/>
      <c r="I20" s="355"/>
    </row>
    <row r="21" spans="2:9">
      <c r="B21" s="355"/>
      <c r="C21" s="355"/>
      <c r="D21" s="355"/>
      <c r="E21" s="355"/>
      <c r="F21" s="355"/>
      <c r="G21" s="355"/>
      <c r="H21" s="355"/>
      <c r="I21" s="355"/>
    </row>
    <row r="22" spans="2:9">
      <c r="B22" s="518" t="s">
        <v>1056</v>
      </c>
      <c r="C22" s="518"/>
      <c r="D22" s="355"/>
      <c r="E22" s="355"/>
      <c r="F22" s="355"/>
      <c r="G22" s="355"/>
      <c r="H22" s="355"/>
      <c r="I22" s="355"/>
    </row>
    <row r="23" spans="2:9">
      <c r="B23" s="366" t="s">
        <v>1057</v>
      </c>
      <c r="C23" s="377"/>
      <c r="D23" s="377"/>
      <c r="G23" s="354"/>
    </row>
    <row r="24" spans="2:9" ht="24">
      <c r="B24" s="370" t="s">
        <v>1058</v>
      </c>
      <c r="C24" s="356" t="s">
        <v>1059</v>
      </c>
      <c r="D24" s="357" t="s">
        <v>1050</v>
      </c>
      <c r="E24" s="358" t="s">
        <v>1036</v>
      </c>
      <c r="F24" s="358" t="s">
        <v>1037</v>
      </c>
      <c r="G24" s="354"/>
    </row>
    <row r="25" spans="2:9" s="520" customFormat="1">
      <c r="B25" s="359" t="s">
        <v>157</v>
      </c>
      <c r="C25" s="360" t="s">
        <v>158</v>
      </c>
      <c r="D25" s="362">
        <v>0.2</v>
      </c>
      <c r="E25" s="519" t="s">
        <v>1060</v>
      </c>
      <c r="F25" s="516" t="s">
        <v>1061</v>
      </c>
      <c r="G25" s="354"/>
    </row>
    <row r="26" spans="2:9">
      <c r="B26" s="359" t="s">
        <v>159</v>
      </c>
      <c r="C26" s="360" t="s">
        <v>1062</v>
      </c>
      <c r="D26" s="362">
        <v>2.5000000000000001E-2</v>
      </c>
      <c r="E26" s="519" t="s">
        <v>1060</v>
      </c>
      <c r="F26" s="516" t="s">
        <v>1063</v>
      </c>
      <c r="G26" s="354"/>
    </row>
    <row r="27" spans="2:9" ht="48">
      <c r="B27" s="359" t="s">
        <v>161</v>
      </c>
      <c r="C27" s="360" t="s">
        <v>1064</v>
      </c>
      <c r="D27" s="362">
        <v>0.03</v>
      </c>
      <c r="E27" s="521" t="s">
        <v>1065</v>
      </c>
      <c r="F27" s="512" t="s">
        <v>1066</v>
      </c>
      <c r="G27" s="354"/>
    </row>
    <row r="28" spans="2:9">
      <c r="B28" s="359" t="s">
        <v>165</v>
      </c>
      <c r="C28" s="360" t="s">
        <v>1067</v>
      </c>
      <c r="D28" s="362">
        <v>1.4999999999999999E-2</v>
      </c>
      <c r="E28" s="519" t="s">
        <v>1060</v>
      </c>
      <c r="F28" s="516" t="s">
        <v>1068</v>
      </c>
      <c r="G28" s="354"/>
    </row>
    <row r="29" spans="2:9">
      <c r="B29" s="359" t="s">
        <v>167</v>
      </c>
      <c r="C29" s="360" t="s">
        <v>168</v>
      </c>
      <c r="D29" s="362">
        <v>0.01</v>
      </c>
      <c r="E29" s="519" t="s">
        <v>1060</v>
      </c>
      <c r="F29" s="516" t="s">
        <v>1069</v>
      </c>
      <c r="G29" s="354"/>
    </row>
    <row r="30" spans="2:9">
      <c r="B30" s="359" t="s">
        <v>169</v>
      </c>
      <c r="C30" s="360" t="s">
        <v>170</v>
      </c>
      <c r="D30" s="362">
        <v>6.0000000000000001E-3</v>
      </c>
      <c r="E30" s="519" t="s">
        <v>1060</v>
      </c>
      <c r="F30" s="516" t="s">
        <v>1070</v>
      </c>
      <c r="G30" s="354"/>
    </row>
    <row r="31" spans="2:9">
      <c r="B31" s="359" t="s">
        <v>171</v>
      </c>
      <c r="C31" s="360" t="s">
        <v>172</v>
      </c>
      <c r="D31" s="362">
        <v>2E-3</v>
      </c>
      <c r="E31" s="519" t="s">
        <v>1060</v>
      </c>
      <c r="F31" s="516" t="s">
        <v>1071</v>
      </c>
      <c r="G31" s="354"/>
    </row>
    <row r="32" spans="2:9">
      <c r="B32" s="359" t="s">
        <v>173</v>
      </c>
      <c r="C32" s="360" t="s">
        <v>174</v>
      </c>
      <c r="D32" s="362">
        <v>0.08</v>
      </c>
      <c r="E32" s="519" t="s">
        <v>1060</v>
      </c>
      <c r="F32" s="516" t="s">
        <v>1072</v>
      </c>
      <c r="G32" s="354"/>
    </row>
    <row r="33" spans="2:16">
      <c r="B33" s="364" t="s">
        <v>175</v>
      </c>
      <c r="C33" s="364"/>
      <c r="D33" s="365">
        <f>SUM(D25:D32)</f>
        <v>0.36800000000000005</v>
      </c>
      <c r="G33" s="354"/>
    </row>
    <row r="34" spans="2:16">
      <c r="B34" s="377"/>
      <c r="C34" s="377"/>
      <c r="D34" s="377"/>
      <c r="G34" s="354"/>
    </row>
    <row r="37" spans="2:16">
      <c r="G37" s="354"/>
    </row>
    <row r="38" spans="2:16">
      <c r="B38" s="366" t="s">
        <v>1073</v>
      </c>
      <c r="C38" s="377"/>
      <c r="D38" s="377"/>
      <c r="G38" s="354"/>
    </row>
    <row r="39" spans="2:16">
      <c r="B39" s="370" t="s">
        <v>263</v>
      </c>
      <c r="C39" s="356" t="s">
        <v>1074</v>
      </c>
      <c r="D39" s="357"/>
      <c r="E39" s="358" t="s">
        <v>1036</v>
      </c>
      <c r="F39" s="358" t="s">
        <v>1037</v>
      </c>
      <c r="G39" s="354"/>
    </row>
    <row r="40" spans="2:16">
      <c r="B40" s="1120" t="s">
        <v>18</v>
      </c>
      <c r="C40" s="1123" t="s">
        <v>1075</v>
      </c>
      <c r="D40" s="387" t="s">
        <v>1076</v>
      </c>
      <c r="E40" s="1126" t="s">
        <v>1077</v>
      </c>
      <c r="F40" s="1117" t="s">
        <v>1078</v>
      </c>
      <c r="H40" s="373"/>
      <c r="I40" s="373"/>
      <c r="J40" s="373"/>
      <c r="K40" s="373"/>
      <c r="L40" s="373"/>
      <c r="M40" s="373"/>
      <c r="N40" s="373"/>
      <c r="O40" s="373"/>
      <c r="P40" s="373"/>
    </row>
    <row r="41" spans="2:16">
      <c r="B41" s="1121"/>
      <c r="C41" s="1124"/>
      <c r="D41" s="387" t="s">
        <v>1079</v>
      </c>
      <c r="E41" s="1127"/>
      <c r="F41" s="1119"/>
      <c r="H41" s="373"/>
      <c r="I41" s="373"/>
      <c r="J41" s="373"/>
      <c r="K41" s="373"/>
      <c r="L41" s="373"/>
      <c r="M41" s="373"/>
      <c r="N41" s="373"/>
      <c r="O41" s="373"/>
      <c r="P41" s="373"/>
    </row>
    <row r="42" spans="2:16" ht="36">
      <c r="B42" s="1122"/>
      <c r="C42" s="1125"/>
      <c r="D42" s="387" t="s">
        <v>1080</v>
      </c>
      <c r="E42" s="1128"/>
      <c r="F42" s="1118"/>
      <c r="H42" s="373"/>
      <c r="I42" s="373"/>
      <c r="J42" s="373"/>
      <c r="K42" s="373"/>
      <c r="L42" s="373"/>
      <c r="M42" s="373"/>
      <c r="N42" s="373"/>
      <c r="O42" s="373"/>
      <c r="P42" s="373"/>
    </row>
    <row r="43" spans="2:16" ht="24">
      <c r="B43" s="359" t="s">
        <v>19</v>
      </c>
      <c r="C43" s="360" t="s">
        <v>1081</v>
      </c>
      <c r="D43" s="388" t="s">
        <v>1082</v>
      </c>
      <c r="E43" s="522" t="s">
        <v>165</v>
      </c>
      <c r="F43" s="363" t="s">
        <v>1078</v>
      </c>
      <c r="H43" s="373"/>
      <c r="I43" s="373"/>
      <c r="J43" s="373"/>
      <c r="K43" s="373"/>
      <c r="L43" s="373"/>
      <c r="M43" s="373"/>
      <c r="N43" s="373"/>
      <c r="O43" s="373"/>
      <c r="P43" s="373"/>
    </row>
    <row r="44" spans="2:16">
      <c r="B44" s="1120" t="s">
        <v>20</v>
      </c>
      <c r="C44" s="1123" t="s">
        <v>1083</v>
      </c>
      <c r="D44" s="388" t="s">
        <v>1084</v>
      </c>
      <c r="E44" s="1126" t="s">
        <v>1085</v>
      </c>
      <c r="F44" s="1117"/>
      <c r="H44" s="373"/>
      <c r="I44" s="373"/>
      <c r="J44" s="373"/>
      <c r="K44" s="373"/>
      <c r="L44" s="373"/>
      <c r="M44" s="373"/>
      <c r="N44" s="373"/>
      <c r="O44" s="373"/>
      <c r="P44" s="373"/>
    </row>
    <row r="45" spans="2:16">
      <c r="B45" s="1122"/>
      <c r="C45" s="1125"/>
      <c r="D45" s="388" t="s">
        <v>1086</v>
      </c>
      <c r="E45" s="1128"/>
      <c r="F45" s="1118"/>
      <c r="H45" s="373"/>
      <c r="I45" s="373"/>
      <c r="J45" s="373"/>
      <c r="K45" s="373"/>
      <c r="L45" s="373"/>
      <c r="M45" s="373"/>
      <c r="N45" s="373"/>
      <c r="O45" s="373"/>
      <c r="P45" s="373"/>
    </row>
    <row r="46" spans="2:16">
      <c r="B46" s="1120" t="s">
        <v>21</v>
      </c>
      <c r="C46" s="1123" t="s">
        <v>1087</v>
      </c>
      <c r="D46" s="388" t="s">
        <v>1088</v>
      </c>
      <c r="E46" s="1126" t="s">
        <v>1089</v>
      </c>
      <c r="F46" s="1117" t="s">
        <v>1078</v>
      </c>
      <c r="H46" s="373"/>
      <c r="I46" s="373"/>
      <c r="J46" s="373"/>
      <c r="K46" s="373"/>
      <c r="L46" s="373"/>
      <c r="M46" s="373"/>
      <c r="N46" s="373"/>
      <c r="O46" s="373"/>
      <c r="P46" s="373"/>
    </row>
    <row r="47" spans="2:16">
      <c r="B47" s="1122"/>
      <c r="C47" s="1125"/>
      <c r="D47" s="388" t="s">
        <v>1090</v>
      </c>
      <c r="E47" s="1128"/>
      <c r="F47" s="1118"/>
      <c r="H47" s="373"/>
      <c r="I47" s="373"/>
      <c r="J47" s="373"/>
      <c r="K47" s="373"/>
      <c r="L47" s="373"/>
      <c r="M47" s="373"/>
      <c r="N47" s="373"/>
      <c r="O47" s="373"/>
      <c r="P47" s="373"/>
    </row>
    <row r="48" spans="2:16">
      <c r="B48" s="359" t="s">
        <v>22</v>
      </c>
      <c r="C48" s="360" t="s">
        <v>1091</v>
      </c>
      <c r="D48" s="388" t="s">
        <v>1092</v>
      </c>
      <c r="E48" s="523" t="s">
        <v>167</v>
      </c>
      <c r="F48" s="363"/>
      <c r="H48" s="373"/>
      <c r="I48" s="373"/>
      <c r="J48" s="373"/>
      <c r="K48" s="373"/>
      <c r="L48" s="373"/>
      <c r="M48" s="373"/>
      <c r="N48" s="373"/>
      <c r="O48" s="373"/>
      <c r="P48" s="373"/>
    </row>
    <row r="49" spans="2:16" ht="24">
      <c r="B49" s="359" t="s">
        <v>23</v>
      </c>
      <c r="C49" s="354" t="s">
        <v>1093</v>
      </c>
      <c r="D49" s="388" t="s">
        <v>1094</v>
      </c>
      <c r="E49" s="373" t="s">
        <v>1095</v>
      </c>
      <c r="F49" s="363" t="s">
        <v>1078</v>
      </c>
      <c r="H49" s="373"/>
      <c r="I49" s="373"/>
      <c r="J49" s="373"/>
      <c r="K49" s="373"/>
      <c r="L49" s="373"/>
      <c r="M49" s="373"/>
      <c r="N49" s="373"/>
      <c r="O49" s="373"/>
      <c r="P49" s="373"/>
    </row>
    <row r="50" spans="2:16">
      <c r="B50" s="1120" t="s">
        <v>24</v>
      </c>
      <c r="C50" s="1123" t="s">
        <v>1096</v>
      </c>
      <c r="D50" s="389" t="s">
        <v>1097</v>
      </c>
      <c r="E50" s="1126" t="s">
        <v>1098</v>
      </c>
      <c r="F50" s="1117" t="s">
        <v>1078</v>
      </c>
      <c r="H50" s="373"/>
      <c r="I50" s="373"/>
      <c r="J50" s="373"/>
      <c r="K50" s="373"/>
      <c r="L50" s="373"/>
      <c r="M50" s="373"/>
      <c r="N50" s="373"/>
      <c r="O50" s="373"/>
      <c r="P50" s="373"/>
    </row>
    <row r="51" spans="2:16">
      <c r="B51" s="1121"/>
      <c r="C51" s="1124"/>
      <c r="D51" s="388" t="s">
        <v>1099</v>
      </c>
      <c r="E51" s="1127"/>
      <c r="F51" s="1119"/>
      <c r="H51" s="373"/>
      <c r="I51" s="373"/>
      <c r="J51" s="373"/>
      <c r="K51" s="373"/>
      <c r="L51" s="373"/>
      <c r="M51" s="373"/>
      <c r="N51" s="373"/>
      <c r="O51" s="373"/>
      <c r="P51" s="373"/>
    </row>
    <row r="52" spans="2:16">
      <c r="B52" s="1121"/>
      <c r="C52" s="1124"/>
      <c r="D52" s="389" t="s">
        <v>1100</v>
      </c>
      <c r="E52" s="1127"/>
      <c r="F52" s="1119"/>
      <c r="H52" s="373"/>
      <c r="I52" s="373"/>
      <c r="J52" s="373"/>
      <c r="K52" s="373"/>
      <c r="L52" s="373"/>
      <c r="M52" s="373"/>
      <c r="N52" s="373"/>
      <c r="O52" s="373"/>
      <c r="P52" s="373"/>
    </row>
    <row r="53" spans="2:16">
      <c r="B53" s="1120" t="s">
        <v>25</v>
      </c>
      <c r="C53" s="1123" t="s">
        <v>1101</v>
      </c>
      <c r="D53" s="388" t="s">
        <v>1102</v>
      </c>
      <c r="E53" s="1126" t="s">
        <v>1103</v>
      </c>
      <c r="F53" s="1117" t="s">
        <v>1078</v>
      </c>
      <c r="H53" s="373"/>
      <c r="I53" s="373"/>
      <c r="J53" s="373"/>
      <c r="K53" s="373"/>
      <c r="L53" s="373"/>
      <c r="M53" s="373"/>
      <c r="N53" s="373"/>
      <c r="O53" s="373"/>
      <c r="P53" s="373"/>
    </row>
    <row r="54" spans="2:16">
      <c r="B54" s="1122"/>
      <c r="C54" s="1125"/>
      <c r="D54" s="388" t="s">
        <v>1104</v>
      </c>
      <c r="E54" s="1128"/>
      <c r="F54" s="1118"/>
      <c r="H54" s="373"/>
      <c r="I54" s="373"/>
      <c r="J54" s="373"/>
      <c r="K54" s="373"/>
      <c r="L54" s="373"/>
      <c r="M54" s="373"/>
      <c r="N54" s="373"/>
      <c r="O54" s="373"/>
      <c r="P54" s="373"/>
    </row>
    <row r="55" spans="2:16">
      <c r="B55" s="1120" t="s">
        <v>26</v>
      </c>
      <c r="C55" s="1123" t="s">
        <v>1105</v>
      </c>
      <c r="D55" s="389" t="s">
        <v>1106</v>
      </c>
      <c r="E55" s="1126" t="s">
        <v>1107</v>
      </c>
      <c r="F55" s="1117"/>
      <c r="H55" s="373"/>
      <c r="I55" s="373"/>
      <c r="J55" s="373"/>
      <c r="K55" s="373"/>
      <c r="L55" s="373"/>
      <c r="M55" s="373"/>
      <c r="N55" s="373"/>
      <c r="O55" s="373"/>
      <c r="P55" s="373"/>
    </row>
    <row r="56" spans="2:16" ht="24">
      <c r="B56" s="1121"/>
      <c r="C56" s="1124"/>
      <c r="D56" s="388" t="s">
        <v>1108</v>
      </c>
      <c r="E56" s="1127"/>
      <c r="F56" s="1119"/>
      <c r="H56" s="373"/>
      <c r="I56" s="373"/>
      <c r="J56" s="373"/>
      <c r="K56" s="373"/>
      <c r="L56" s="373"/>
      <c r="M56" s="373"/>
      <c r="N56" s="373"/>
      <c r="O56" s="373"/>
      <c r="P56" s="373"/>
    </row>
    <row r="57" spans="2:16">
      <c r="B57" s="1121"/>
      <c r="C57" s="1124"/>
      <c r="D57" s="389" t="s">
        <v>1109</v>
      </c>
      <c r="E57" s="1127"/>
      <c r="F57" s="1119"/>
      <c r="G57" s="354"/>
    </row>
    <row r="58" spans="2:16" ht="24">
      <c r="B58" s="1120" t="s">
        <v>1110</v>
      </c>
      <c r="C58" s="1123" t="s">
        <v>1111</v>
      </c>
      <c r="D58" s="388" t="s">
        <v>1112</v>
      </c>
      <c r="E58" s="1126" t="s">
        <v>1113</v>
      </c>
      <c r="F58" s="1117" t="s">
        <v>1114</v>
      </c>
      <c r="G58" s="354"/>
    </row>
    <row r="59" spans="2:16">
      <c r="B59" s="1121"/>
      <c r="C59" s="1124"/>
      <c r="D59" s="388" t="s">
        <v>1115</v>
      </c>
      <c r="E59" s="1127"/>
      <c r="F59" s="1119"/>
      <c r="G59" s="354"/>
    </row>
    <row r="60" spans="2:16" ht="36">
      <c r="B60" s="1121"/>
      <c r="C60" s="1124"/>
      <c r="D60" s="387" t="s">
        <v>1116</v>
      </c>
      <c r="E60" s="1127"/>
      <c r="F60" s="1119"/>
      <c r="G60" s="354"/>
    </row>
    <row r="61" spans="2:16" ht="36">
      <c r="B61" s="1121"/>
      <c r="C61" s="1124"/>
      <c r="D61" s="387" t="s">
        <v>1117</v>
      </c>
      <c r="E61" s="1127"/>
      <c r="F61" s="1119"/>
      <c r="G61" s="354"/>
    </row>
    <row r="62" spans="2:16">
      <c r="B62" s="1122"/>
      <c r="C62" s="1125"/>
      <c r="D62" s="387" t="s">
        <v>1118</v>
      </c>
      <c r="E62" s="1128"/>
      <c r="F62" s="1118"/>
      <c r="G62" s="354"/>
    </row>
    <row r="63" spans="2:16">
      <c r="B63" s="364" t="s">
        <v>175</v>
      </c>
      <c r="C63" s="364"/>
      <c r="D63" s="365"/>
      <c r="G63" s="354"/>
    </row>
    <row r="69" spans="2:7">
      <c r="B69" s="366" t="s">
        <v>1119</v>
      </c>
      <c r="C69" s="369"/>
      <c r="D69" s="369"/>
      <c r="G69" s="354"/>
    </row>
    <row r="70" spans="2:7">
      <c r="B70" s="370">
        <v>3</v>
      </c>
      <c r="C70" s="356" t="s">
        <v>1120</v>
      </c>
      <c r="D70" s="357" t="s">
        <v>1121</v>
      </c>
      <c r="E70" s="358" t="s">
        <v>1036</v>
      </c>
      <c r="F70" s="358" t="s">
        <v>1037</v>
      </c>
      <c r="G70" s="377"/>
    </row>
    <row r="71" spans="2:7">
      <c r="B71" s="359" t="s">
        <v>157</v>
      </c>
      <c r="C71" s="360" t="s">
        <v>1122</v>
      </c>
      <c r="D71" s="524">
        <v>0.05</v>
      </c>
      <c r="E71" s="519" t="s">
        <v>1123</v>
      </c>
      <c r="F71" s="516" t="s">
        <v>1124</v>
      </c>
      <c r="G71" s="377"/>
    </row>
    <row r="72" spans="2:7" ht="24">
      <c r="B72" s="359" t="s">
        <v>159</v>
      </c>
      <c r="C72" s="360" t="s">
        <v>1125</v>
      </c>
      <c r="D72" s="524">
        <f>D71</f>
        <v>0.05</v>
      </c>
      <c r="E72" s="519" t="s">
        <v>1126</v>
      </c>
      <c r="F72" s="516" t="s">
        <v>1127</v>
      </c>
      <c r="G72" s="377"/>
    </row>
    <row r="73" spans="2:7" ht="36">
      <c r="B73" s="359" t="s">
        <v>161</v>
      </c>
      <c r="C73" s="360" t="s">
        <v>1128</v>
      </c>
      <c r="D73" s="524">
        <f>D71</f>
        <v>0.05</v>
      </c>
      <c r="E73" s="525" t="s">
        <v>1129</v>
      </c>
      <c r="F73" s="516" t="s">
        <v>1130</v>
      </c>
      <c r="G73" s="377"/>
    </row>
    <row r="74" spans="2:7">
      <c r="B74" s="359" t="s">
        <v>165</v>
      </c>
      <c r="C74" s="360" t="s">
        <v>1122</v>
      </c>
      <c r="D74" s="524">
        <v>0.05</v>
      </c>
      <c r="E74" s="525" t="s">
        <v>1131</v>
      </c>
      <c r="F74" s="516"/>
      <c r="G74" s="377"/>
    </row>
    <row r="75" spans="2:7" ht="14.25" customHeight="1">
      <c r="B75" s="359" t="s">
        <v>167</v>
      </c>
      <c r="C75" s="360" t="s">
        <v>1132</v>
      </c>
      <c r="D75" s="524">
        <v>1</v>
      </c>
      <c r="E75" s="525" t="s">
        <v>1133</v>
      </c>
      <c r="F75" s="516" t="s">
        <v>1134</v>
      </c>
      <c r="G75" s="354"/>
    </row>
    <row r="76" spans="2:7" s="520" customFormat="1" ht="36">
      <c r="B76" s="359" t="s">
        <v>169</v>
      </c>
      <c r="C76" s="360" t="s">
        <v>1135</v>
      </c>
      <c r="D76" s="524">
        <f>D75</f>
        <v>1</v>
      </c>
      <c r="E76" s="526" t="s">
        <v>1136</v>
      </c>
      <c r="F76" s="527" t="s">
        <v>1137</v>
      </c>
    </row>
    <row r="77" spans="2:7" s="520" customFormat="1" ht="36">
      <c r="B77" s="359" t="s">
        <v>171</v>
      </c>
      <c r="C77" s="360" t="s">
        <v>1138</v>
      </c>
      <c r="D77" s="524">
        <f>D75</f>
        <v>1</v>
      </c>
      <c r="E77" s="525" t="s">
        <v>1139</v>
      </c>
      <c r="F77" s="512" t="s">
        <v>1140</v>
      </c>
    </row>
    <row r="78" spans="2:7" s="520" customFormat="1" ht="19.5" customHeight="1">
      <c r="B78" s="359" t="s">
        <v>173</v>
      </c>
      <c r="C78" s="528" t="s">
        <v>1141</v>
      </c>
      <c r="D78" s="524">
        <f>D76</f>
        <v>1</v>
      </c>
      <c r="E78" s="529" t="s">
        <v>1142</v>
      </c>
      <c r="F78" s="529"/>
    </row>
    <row r="79" spans="2:7">
      <c r="B79" s="364"/>
      <c r="C79" s="364"/>
      <c r="D79" s="365"/>
      <c r="E79" s="529"/>
      <c r="F79" s="529"/>
      <c r="G79" s="354"/>
    </row>
    <row r="80" spans="2:7">
      <c r="B80" s="377"/>
      <c r="C80" s="377"/>
      <c r="D80" s="377"/>
      <c r="G80" s="354"/>
    </row>
    <row r="81" spans="2:9">
      <c r="B81" s="377"/>
      <c r="C81" s="377"/>
      <c r="D81" s="377"/>
      <c r="G81" s="354"/>
    </row>
    <row r="82" spans="2:9">
      <c r="B82" s="377"/>
      <c r="C82" s="377"/>
      <c r="D82" s="377"/>
      <c r="G82" s="354"/>
    </row>
    <row r="83" spans="2:9">
      <c r="B83" s="377"/>
      <c r="C83" s="377"/>
      <c r="D83" s="377"/>
      <c r="G83" s="354"/>
    </row>
    <row r="84" spans="2:9">
      <c r="B84" s="366" t="s">
        <v>1143</v>
      </c>
      <c r="C84" s="377"/>
      <c r="D84" s="377"/>
      <c r="G84" s="354"/>
    </row>
    <row r="85" spans="2:9">
      <c r="B85" s="366" t="s">
        <v>1144</v>
      </c>
      <c r="C85" s="377"/>
      <c r="D85" s="377"/>
      <c r="G85" s="354"/>
    </row>
    <row r="86" spans="2:9" ht="20.100000000000001" customHeight="1">
      <c r="B86" s="370" t="s">
        <v>266</v>
      </c>
      <c r="C86" s="356" t="s">
        <v>1145</v>
      </c>
      <c r="D86" s="357" t="s">
        <v>1146</v>
      </c>
      <c r="E86" s="358" t="s">
        <v>1036</v>
      </c>
      <c r="F86" s="530" t="s">
        <v>1037</v>
      </c>
      <c r="G86" s="354"/>
    </row>
    <row r="87" spans="2:9" ht="36">
      <c r="B87" s="359" t="s">
        <v>157</v>
      </c>
      <c r="C87" s="360" t="s">
        <v>1005</v>
      </c>
      <c r="D87" s="390">
        <v>30</v>
      </c>
      <c r="E87" s="529" t="s">
        <v>1147</v>
      </c>
      <c r="F87" s="527" t="s">
        <v>1148</v>
      </c>
      <c r="G87" s="354"/>
    </row>
    <row r="88" spans="2:9" ht="382.5">
      <c r="B88" s="359" t="s">
        <v>159</v>
      </c>
      <c r="C88" s="531" t="s">
        <v>1149</v>
      </c>
      <c r="D88" s="390">
        <v>8.5149000000000008</v>
      </c>
      <c r="E88" s="682" t="s">
        <v>1150</v>
      </c>
      <c r="F88" s="531" t="s">
        <v>1151</v>
      </c>
      <c r="G88" s="354"/>
    </row>
    <row r="89" spans="2:9">
      <c r="B89" s="364" t="s">
        <v>175</v>
      </c>
      <c r="C89" s="364"/>
      <c r="D89" s="365"/>
      <c r="G89" s="354"/>
    </row>
    <row r="90" spans="2:9">
      <c r="B90" s="355"/>
      <c r="C90" s="355"/>
      <c r="D90" s="355"/>
      <c r="E90" s="355"/>
      <c r="F90" s="355"/>
      <c r="G90" s="355"/>
      <c r="H90" s="355"/>
      <c r="I90" s="355"/>
    </row>
    <row r="91" spans="2:9">
      <c r="B91" s="377"/>
      <c r="C91" s="377"/>
      <c r="D91" s="377"/>
      <c r="G91" s="354"/>
    </row>
    <row r="92" spans="2:9">
      <c r="B92" s="377"/>
      <c r="C92" s="377"/>
      <c r="D92" s="377"/>
      <c r="G92" s="354"/>
    </row>
    <row r="93" spans="2:9">
      <c r="B93" s="377"/>
      <c r="C93" s="377"/>
      <c r="D93" s="377"/>
      <c r="G93" s="354"/>
    </row>
    <row r="94" spans="2:9">
      <c r="B94" s="366" t="s">
        <v>1152</v>
      </c>
      <c r="C94" s="377"/>
      <c r="D94" s="377"/>
      <c r="G94" s="354"/>
    </row>
    <row r="95" spans="2:9">
      <c r="B95" s="370">
        <v>5</v>
      </c>
      <c r="C95" s="356" t="s">
        <v>1153</v>
      </c>
      <c r="D95" s="357"/>
      <c r="E95" s="358" t="s">
        <v>1036</v>
      </c>
      <c r="F95" s="358" t="s">
        <v>1037</v>
      </c>
      <c r="G95" s="355"/>
      <c r="H95" s="355"/>
      <c r="I95" s="355"/>
    </row>
    <row r="96" spans="2:9">
      <c r="B96" s="359" t="s">
        <v>157</v>
      </c>
      <c r="C96" s="360" t="s">
        <v>875</v>
      </c>
      <c r="D96" s="367"/>
      <c r="E96" s="509"/>
      <c r="F96" s="363"/>
      <c r="G96" s="355"/>
      <c r="H96" s="355"/>
      <c r="I96" s="355"/>
    </row>
    <row r="97" spans="2:9" ht="48">
      <c r="B97" s="359" t="s">
        <v>159</v>
      </c>
      <c r="C97" s="360" t="s">
        <v>876</v>
      </c>
      <c r="D97" s="367"/>
      <c r="E97" s="368"/>
      <c r="F97" s="363" t="s">
        <v>1154</v>
      </c>
      <c r="G97" s="355"/>
      <c r="H97" s="355"/>
      <c r="I97" s="355"/>
    </row>
    <row r="98" spans="2:9" ht="24">
      <c r="B98" s="359" t="s">
        <v>161</v>
      </c>
      <c r="C98" s="360" t="s">
        <v>1155</v>
      </c>
      <c r="D98" s="367"/>
      <c r="E98" s="368"/>
      <c r="F98" s="363"/>
      <c r="G98" s="355"/>
      <c r="H98" s="355"/>
      <c r="I98" s="355"/>
    </row>
    <row r="99" spans="2:9">
      <c r="B99" s="359" t="s">
        <v>165</v>
      </c>
      <c r="C99" s="360" t="s">
        <v>1156</v>
      </c>
      <c r="D99" s="367"/>
      <c r="E99" s="368"/>
      <c r="F99" s="363"/>
      <c r="G99" s="355"/>
      <c r="H99" s="355"/>
      <c r="I99" s="355"/>
    </row>
    <row r="100" spans="2:9">
      <c r="B100" s="359" t="s">
        <v>167</v>
      </c>
      <c r="C100" s="360"/>
      <c r="D100" s="367"/>
      <c r="E100" s="368"/>
      <c r="F100" s="363"/>
      <c r="G100" s="355"/>
      <c r="H100" s="355"/>
      <c r="I100" s="355"/>
    </row>
    <row r="101" spans="2:9">
      <c r="B101" s="364" t="s">
        <v>175</v>
      </c>
      <c r="C101" s="364"/>
      <c r="D101" s="365"/>
      <c r="G101" s="355"/>
      <c r="H101" s="355"/>
      <c r="I101" s="355"/>
    </row>
    <row r="102" spans="2:9">
      <c r="B102" s="355"/>
      <c r="C102" s="355"/>
      <c r="D102" s="355"/>
      <c r="E102" s="355"/>
      <c r="F102" s="355"/>
      <c r="G102" s="355"/>
      <c r="H102" s="355"/>
      <c r="I102" s="355"/>
    </row>
    <row r="103" spans="2:9">
      <c r="B103" s="377"/>
      <c r="C103" s="377"/>
      <c r="D103" s="377"/>
      <c r="G103" s="354"/>
    </row>
    <row r="104" spans="2:9">
      <c r="B104" s="377"/>
      <c r="C104" s="377"/>
      <c r="D104" s="377"/>
      <c r="G104" s="354"/>
    </row>
    <row r="105" spans="2:9">
      <c r="B105" s="377"/>
      <c r="C105" s="377"/>
      <c r="D105" s="377"/>
      <c r="G105" s="354"/>
    </row>
    <row r="106" spans="2:9">
      <c r="B106" s="366" t="s">
        <v>1157</v>
      </c>
      <c r="C106" s="369"/>
      <c r="D106" s="369"/>
      <c r="G106" s="354"/>
    </row>
    <row r="107" spans="2:9" ht="70.5" customHeight="1">
      <c r="B107" s="532"/>
      <c r="C107" s="356" t="s">
        <v>1158</v>
      </c>
      <c r="D107" s="357"/>
      <c r="E107" s="358"/>
      <c r="F107" s="358" t="s">
        <v>1037</v>
      </c>
    </row>
    <row r="108" spans="2:9" ht="36">
      <c r="B108" s="359" t="s">
        <v>157</v>
      </c>
      <c r="C108" s="386" t="s">
        <v>1159</v>
      </c>
      <c r="D108" s="680">
        <v>0.03</v>
      </c>
      <c r="E108" s="371" t="s">
        <v>1160</v>
      </c>
      <c r="F108" s="363" t="s">
        <v>1161</v>
      </c>
    </row>
    <row r="109" spans="2:9" ht="36">
      <c r="B109" s="359" t="s">
        <v>159</v>
      </c>
      <c r="C109" s="386" t="s">
        <v>256</v>
      </c>
      <c r="D109" s="680">
        <v>6.7900000000000002E-2</v>
      </c>
      <c r="E109" s="533" t="s">
        <v>1162</v>
      </c>
      <c r="F109" s="363" t="s">
        <v>1161</v>
      </c>
    </row>
    <row r="110" spans="2:9">
      <c r="B110" s="1120" t="s">
        <v>161</v>
      </c>
      <c r="C110" s="534" t="s">
        <v>269</v>
      </c>
      <c r="D110" s="522">
        <v>1.6500000000000001E-2</v>
      </c>
      <c r="E110" s="522" t="s">
        <v>1163</v>
      </c>
      <c r="F110" s="361"/>
    </row>
    <row r="111" spans="2:9" ht="48.75" customHeight="1">
      <c r="B111" s="1121"/>
      <c r="C111" s="534" t="s">
        <v>271</v>
      </c>
      <c r="D111" s="522">
        <v>7.5999999999999998E-2</v>
      </c>
      <c r="E111" s="522" t="s">
        <v>1164</v>
      </c>
      <c r="F111" s="363"/>
    </row>
    <row r="112" spans="2:9">
      <c r="B112" s="1121"/>
      <c r="C112" s="535" t="s">
        <v>1165</v>
      </c>
      <c r="D112" s="681" t="s">
        <v>1050</v>
      </c>
      <c r="E112" s="371" t="s">
        <v>1166</v>
      </c>
      <c r="F112" s="363" t="s">
        <v>1167</v>
      </c>
    </row>
    <row r="113" spans="2:6" ht="36">
      <c r="B113" s="1129" t="s">
        <v>227</v>
      </c>
      <c r="C113" s="1130"/>
      <c r="D113" s="1131"/>
      <c r="E113" s="536" t="s">
        <v>1168</v>
      </c>
      <c r="F113" s="363"/>
    </row>
  </sheetData>
  <mergeCells count="30">
    <mergeCell ref="B110:B112"/>
    <mergeCell ref="B113:D113"/>
    <mergeCell ref="B44:B45"/>
    <mergeCell ref="C44:C45"/>
    <mergeCell ref="E44:E45"/>
    <mergeCell ref="B58:B62"/>
    <mergeCell ref="C58:C62"/>
    <mergeCell ref="E58:E62"/>
    <mergeCell ref="B55:B57"/>
    <mergeCell ref="C55:C57"/>
    <mergeCell ref="E55:E57"/>
    <mergeCell ref="B46:B47"/>
    <mergeCell ref="C46:C47"/>
    <mergeCell ref="B53:B54"/>
    <mergeCell ref="C53:C54"/>
    <mergeCell ref="E53:E54"/>
    <mergeCell ref="F53:F54"/>
    <mergeCell ref="F58:F62"/>
    <mergeCell ref="F55:F57"/>
    <mergeCell ref="B40:B42"/>
    <mergeCell ref="C40:C42"/>
    <mergeCell ref="E40:E42"/>
    <mergeCell ref="F40:F42"/>
    <mergeCell ref="B50:B52"/>
    <mergeCell ref="C50:C52"/>
    <mergeCell ref="E50:E52"/>
    <mergeCell ref="F50:F52"/>
    <mergeCell ref="E46:E47"/>
    <mergeCell ref="F46:F47"/>
    <mergeCell ref="F44:F45"/>
  </mergeCells>
  <phoneticPr fontId="87" type="noConversion"/>
  <pageMargins left="0.511811024" right="0.511811024" top="0.78740157499999996" bottom="0.78740157499999996" header="0.31496062000000002" footer="0.31496062000000002"/>
  <pageSetup paperSize="9"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Planilha22"/>
  <dimension ref="B1:Q124"/>
  <sheetViews>
    <sheetView zoomScaleNormal="100" workbookViewId="0">
      <selection activeCell="H35" sqref="H35"/>
    </sheetView>
  </sheetViews>
  <sheetFormatPr defaultRowHeight="14.25"/>
  <cols>
    <col min="1" max="1" width="1.375" customWidth="1"/>
    <col min="2" max="2" width="27" bestFit="1" customWidth="1"/>
    <col min="3" max="3" width="27.375" bestFit="1" customWidth="1"/>
    <col min="4" max="4" width="20.25" customWidth="1"/>
    <col min="5" max="5" width="13.5" bestFit="1" customWidth="1"/>
    <col min="6" max="6" width="13.125" style="21" customWidth="1"/>
    <col min="7" max="7" width="13.875" style="25" bestFit="1" customWidth="1"/>
    <col min="8" max="8" width="13.25" customWidth="1"/>
    <col min="9" max="9" width="18.375" customWidth="1"/>
    <col min="10" max="10" width="18.75" style="21" bestFit="1" customWidth="1"/>
    <col min="11" max="12" width="13.125" customWidth="1"/>
    <col min="13" max="13" width="14.375" customWidth="1"/>
    <col min="14" max="14" width="17" customWidth="1"/>
    <col min="15" max="15" width="24" customWidth="1"/>
    <col min="16" max="16" width="35.625" customWidth="1"/>
  </cols>
  <sheetData>
    <row r="1" spans="2:17" ht="15" thickBot="1">
      <c r="L1" s="101" t="s">
        <v>1169</v>
      </c>
      <c r="M1" s="100"/>
      <c r="N1" s="100"/>
      <c r="O1" s="100"/>
      <c r="P1" s="100"/>
    </row>
    <row r="2" spans="2:17">
      <c r="B2" s="1132"/>
      <c r="C2" s="1132"/>
      <c r="D2" s="1135" t="s">
        <v>1170</v>
      </c>
      <c r="E2" s="1136"/>
      <c r="F2" s="1136" t="s">
        <v>1171</v>
      </c>
      <c r="G2" s="1136"/>
      <c r="J2"/>
      <c r="L2" s="1138" t="s">
        <v>1172</v>
      </c>
      <c r="M2" s="106">
        <v>1</v>
      </c>
      <c r="N2" s="102">
        <v>2</v>
      </c>
      <c r="O2" s="102">
        <v>3</v>
      </c>
      <c r="P2" s="102">
        <v>4</v>
      </c>
    </row>
    <row r="3" spans="2:17" ht="25.5" customHeight="1">
      <c r="B3" s="1133"/>
      <c r="C3" s="1133"/>
      <c r="D3" s="1135" t="s">
        <v>1173</v>
      </c>
      <c r="E3" s="1136"/>
      <c r="F3" s="1136" t="s">
        <v>1173</v>
      </c>
      <c r="G3" s="1136"/>
      <c r="I3" s="21"/>
      <c r="J3"/>
      <c r="L3" s="1139"/>
      <c r="M3" s="103" t="s">
        <v>1174</v>
      </c>
      <c r="N3" s="103" t="s">
        <v>1175</v>
      </c>
      <c r="O3" s="107" t="s">
        <v>1176</v>
      </c>
      <c r="P3" s="107" t="s">
        <v>1177</v>
      </c>
    </row>
    <row r="4" spans="2:17" ht="15" thickBot="1">
      <c r="B4" s="42" t="s">
        <v>981</v>
      </c>
      <c r="C4" s="43" t="s">
        <v>1178</v>
      </c>
      <c r="D4" s="1137">
        <v>800</v>
      </c>
      <c r="E4" s="1137"/>
      <c r="F4" s="1137">
        <v>1200</v>
      </c>
      <c r="G4" s="1137"/>
      <c r="I4" s="21"/>
      <c r="J4"/>
      <c r="L4" s="1140"/>
      <c r="M4" s="104" t="s">
        <v>1179</v>
      </c>
      <c r="N4" s="103" t="s">
        <v>1180</v>
      </c>
      <c r="O4" s="108"/>
      <c r="P4" s="109" t="s">
        <v>1181</v>
      </c>
    </row>
    <row r="5" spans="2:17">
      <c r="B5" s="42" t="s">
        <v>981</v>
      </c>
      <c r="C5" s="3" t="s">
        <v>1182</v>
      </c>
      <c r="D5" s="1137">
        <v>1800</v>
      </c>
      <c r="E5" s="1137"/>
      <c r="F5" s="1137">
        <v>2700</v>
      </c>
      <c r="G5" s="1137"/>
      <c r="I5" s="21"/>
      <c r="J5"/>
      <c r="L5" s="1141" t="s">
        <v>1183</v>
      </c>
      <c r="M5" s="105" t="s">
        <v>1184</v>
      </c>
      <c r="N5" s="1143">
        <v>16</v>
      </c>
      <c r="O5" s="105" t="s">
        <v>1185</v>
      </c>
      <c r="P5" s="1151">
        <f>(1/M6)*N5*(1/O6)</f>
        <v>2.4930506213928678E-4</v>
      </c>
    </row>
    <row r="6" spans="2:17" ht="15" thickBot="1">
      <c r="B6" s="6" t="s">
        <v>1186</v>
      </c>
      <c r="C6" s="3" t="s">
        <v>1187</v>
      </c>
      <c r="D6" s="1137">
        <v>300</v>
      </c>
      <c r="E6" s="1137"/>
      <c r="F6" s="1137">
        <v>380</v>
      </c>
      <c r="G6" s="1137"/>
      <c r="L6" s="1142"/>
      <c r="M6" s="7">
        <f>D16</f>
        <v>340</v>
      </c>
      <c r="N6" s="1144"/>
      <c r="O6" s="110">
        <v>188.76</v>
      </c>
      <c r="P6" s="1152"/>
    </row>
    <row r="7" spans="2:17" ht="15" thickBot="1">
      <c r="B7" s="6" t="s">
        <v>1186</v>
      </c>
      <c r="C7" s="3" t="s">
        <v>1188</v>
      </c>
      <c r="D7" s="1137">
        <v>130</v>
      </c>
      <c r="E7" s="1137"/>
      <c r="F7" s="1147">
        <v>160</v>
      </c>
      <c r="G7" s="1147"/>
      <c r="L7" s="111"/>
      <c r="M7" s="112"/>
      <c r="N7" s="112"/>
      <c r="O7" s="112"/>
      <c r="P7" s="112"/>
    </row>
    <row r="8" spans="2:17" ht="15">
      <c r="B8" s="806"/>
      <c r="C8" s="806"/>
      <c r="H8" s="806"/>
      <c r="L8" s="100"/>
      <c r="M8" s="100"/>
      <c r="N8" s="100"/>
      <c r="O8" s="100"/>
      <c r="P8" s="100"/>
    </row>
    <row r="9" spans="2:17" ht="15">
      <c r="B9" s="806"/>
      <c r="C9" s="806"/>
      <c r="H9" s="806"/>
    </row>
    <row r="10" spans="2:17" ht="15.75" customHeight="1">
      <c r="B10" s="1145" t="s">
        <v>1189</v>
      </c>
      <c r="C10" s="1134" t="s">
        <v>1190</v>
      </c>
      <c r="D10" s="1134" t="s">
        <v>1191</v>
      </c>
      <c r="E10" s="1155" t="s">
        <v>1192</v>
      </c>
      <c r="F10" s="1134" t="s">
        <v>1193</v>
      </c>
      <c r="G10" s="1148" t="s">
        <v>1194</v>
      </c>
      <c r="H10" s="1154" t="s">
        <v>1195</v>
      </c>
      <c r="I10" s="1134" t="s">
        <v>1196</v>
      </c>
      <c r="J10" s="1145" t="s">
        <v>1197</v>
      </c>
      <c r="K10" s="14"/>
    </row>
    <row r="11" spans="2:17" ht="28.5" customHeight="1">
      <c r="B11" s="1153"/>
      <c r="C11" s="1134"/>
      <c r="D11" s="1134"/>
      <c r="E11" s="1155"/>
      <c r="F11" s="1134"/>
      <c r="G11" s="1149"/>
      <c r="H11" s="1154"/>
      <c r="I11" s="1134"/>
      <c r="J11" s="1146"/>
      <c r="K11" s="14"/>
      <c r="N11" s="115"/>
    </row>
    <row r="12" spans="2:17">
      <c r="B12" s="1146"/>
      <c r="C12" s="1134"/>
      <c r="D12" s="5" t="s">
        <v>1173</v>
      </c>
      <c r="E12" s="50" t="s">
        <v>1198</v>
      </c>
      <c r="F12" s="1134"/>
      <c r="G12" s="1150"/>
      <c r="H12" s="5" t="s">
        <v>1199</v>
      </c>
      <c r="I12" s="5"/>
      <c r="J12" s="5"/>
      <c r="K12" s="14"/>
    </row>
    <row r="13" spans="2:17" s="4" customFormat="1">
      <c r="B13" s="57" t="s">
        <v>1200</v>
      </c>
      <c r="C13" s="51"/>
      <c r="D13" s="52"/>
      <c r="E13" s="52"/>
      <c r="F13" s="53"/>
      <c r="G13" s="54"/>
      <c r="H13" s="53"/>
      <c r="I13" s="52"/>
      <c r="J13" s="53"/>
      <c r="K13" s="26"/>
      <c r="L13"/>
      <c r="M13"/>
      <c r="N13"/>
      <c r="O13"/>
      <c r="P13"/>
      <c r="Q13"/>
    </row>
    <row r="14" spans="2:17">
      <c r="B14" s="6" t="s">
        <v>1201</v>
      </c>
      <c r="C14" s="42" t="s">
        <v>981</v>
      </c>
      <c r="D14" s="47">
        <v>1000</v>
      </c>
      <c r="E14" s="114">
        <f>1/D14</f>
        <v>1E-3</v>
      </c>
      <c r="F14" s="48">
        <f>PCFP!K129</f>
        <v>32562.29</v>
      </c>
      <c r="G14" s="45">
        <f>F14*E14</f>
        <v>32.562290000000004</v>
      </c>
      <c r="H14" s="49">
        <v>17701</v>
      </c>
      <c r="I14" s="44">
        <f>H14*E14</f>
        <v>17.701000000000001</v>
      </c>
      <c r="J14" s="45">
        <f>G14*H14</f>
        <v>576385.09529000008</v>
      </c>
      <c r="K14" s="17"/>
    </row>
    <row r="15" spans="2:17">
      <c r="B15" s="6" t="s">
        <v>1202</v>
      </c>
      <c r="C15" s="6" t="s">
        <v>981</v>
      </c>
      <c r="D15" s="20">
        <v>2250</v>
      </c>
      <c r="E15" s="113">
        <f>1/D15</f>
        <v>4.4444444444444447E-4</v>
      </c>
      <c r="F15" s="46">
        <f>F14</f>
        <v>32562.29</v>
      </c>
      <c r="G15" s="19">
        <f t="shared" ref="G15:G77" si="0">F15*E15</f>
        <v>14.472128888888889</v>
      </c>
      <c r="H15" s="7">
        <v>2931</v>
      </c>
      <c r="I15" s="44">
        <f>H15*E15</f>
        <v>1.3026666666666666</v>
      </c>
      <c r="J15" s="45">
        <f>G15*H15</f>
        <v>42417.809773333334</v>
      </c>
    </row>
    <row r="16" spans="2:17">
      <c r="B16" s="6" t="s">
        <v>1187</v>
      </c>
      <c r="C16" s="6" t="s">
        <v>1186</v>
      </c>
      <c r="D16" s="20">
        <v>340</v>
      </c>
      <c r="E16" s="113">
        <f>(1/D16)*N5*(1/188.76)</f>
        <v>2.4930506213928678E-4</v>
      </c>
      <c r="F16" s="46">
        <f>PCFP!L129</f>
        <v>10417.83</v>
      </c>
      <c r="G16" s="19">
        <f t="shared" si="0"/>
        <v>2.5972177555065259</v>
      </c>
      <c r="H16" s="7">
        <v>3522</v>
      </c>
      <c r="I16" s="44">
        <f>H16*E16</f>
        <v>0.87805242885456802</v>
      </c>
      <c r="J16" s="45">
        <f>G16*H16</f>
        <v>9147.4009348939835</v>
      </c>
    </row>
    <row r="17" spans="2:10">
      <c r="B17" s="6" t="s">
        <v>1203</v>
      </c>
      <c r="C17" s="6" t="s">
        <v>1204</v>
      </c>
      <c r="D17" s="20">
        <v>1</v>
      </c>
      <c r="E17" s="30"/>
      <c r="F17" s="19">
        <f>PCFP!M129</f>
        <v>9020.08</v>
      </c>
      <c r="G17" s="19"/>
      <c r="H17" s="7"/>
      <c r="I17" s="18">
        <f>D17</f>
        <v>1</v>
      </c>
      <c r="J17" s="19">
        <f>F17*D17</f>
        <v>9020.08</v>
      </c>
    </row>
    <row r="18" spans="2:10">
      <c r="B18" s="15" t="s">
        <v>492</v>
      </c>
      <c r="D18" s="38"/>
      <c r="E18" s="39"/>
      <c r="G18" s="24"/>
      <c r="H18" s="16">
        <f>SUM(H14:H17)</f>
        <v>24154</v>
      </c>
      <c r="I18" s="65">
        <f>SUM(I14:I17)</f>
        <v>20.881719095521234</v>
      </c>
      <c r="J18" s="66">
        <f>SUM(J14:J17)</f>
        <v>636970.3859982274</v>
      </c>
    </row>
    <row r="19" spans="2:10">
      <c r="B19" s="51" t="s">
        <v>1205</v>
      </c>
      <c r="C19" s="51"/>
      <c r="D19" s="52"/>
      <c r="E19" s="52"/>
      <c r="F19" s="53"/>
      <c r="G19" s="54"/>
      <c r="H19" s="53"/>
      <c r="I19" s="52"/>
      <c r="J19" s="53"/>
    </row>
    <row r="20" spans="2:10">
      <c r="B20" s="60" t="s">
        <v>1201</v>
      </c>
      <c r="C20" s="42" t="s">
        <v>981</v>
      </c>
      <c r="D20" s="47">
        <v>800</v>
      </c>
      <c r="E20" s="37">
        <f>1/D20</f>
        <v>1.25E-3</v>
      </c>
      <c r="F20" s="48" t="e">
        <f>#REF!</f>
        <v>#REF!</v>
      </c>
      <c r="G20" s="45" t="e">
        <f t="shared" si="0"/>
        <v>#REF!</v>
      </c>
      <c r="H20" s="67">
        <v>549</v>
      </c>
      <c r="I20" s="44">
        <f t="shared" ref="I20:I77" si="1">H20/D20</f>
        <v>0.68625000000000003</v>
      </c>
      <c r="J20" s="45" t="e">
        <f t="shared" ref="J20:J77" si="2">G20*H20</f>
        <v>#REF!</v>
      </c>
    </row>
    <row r="21" spans="2:10">
      <c r="B21" s="9" t="s">
        <v>1206</v>
      </c>
      <c r="C21" s="6" t="s">
        <v>981</v>
      </c>
      <c r="D21" s="20">
        <v>1800</v>
      </c>
      <c r="E21" s="30">
        <f>1/D21</f>
        <v>5.5555555555555556E-4</v>
      </c>
      <c r="F21" s="46" t="e">
        <f>F20</f>
        <v>#REF!</v>
      </c>
      <c r="G21" s="19" t="e">
        <f t="shared" si="0"/>
        <v>#REF!</v>
      </c>
      <c r="H21" s="10">
        <v>361</v>
      </c>
      <c r="I21" s="18">
        <f t="shared" si="1"/>
        <v>0.20055555555555554</v>
      </c>
      <c r="J21" s="19" t="e">
        <f t="shared" si="2"/>
        <v>#REF!</v>
      </c>
    </row>
    <row r="22" spans="2:10">
      <c r="B22" s="8" t="s">
        <v>1207</v>
      </c>
      <c r="C22" s="6" t="s">
        <v>981</v>
      </c>
      <c r="D22" s="20">
        <v>300</v>
      </c>
      <c r="E22" s="113">
        <f>(1/D22)*16*(1/188.76)</f>
        <v>2.8254573709119167E-4</v>
      </c>
      <c r="F22" s="46" t="e">
        <f>#REF!</f>
        <v>#REF!</v>
      </c>
      <c r="G22" s="19" t="e">
        <f t="shared" si="0"/>
        <v>#REF!</v>
      </c>
      <c r="H22" s="10">
        <v>49</v>
      </c>
      <c r="I22" s="18">
        <f t="shared" si="1"/>
        <v>0.16333333333333333</v>
      </c>
      <c r="J22" s="19" t="e">
        <f t="shared" si="2"/>
        <v>#REF!</v>
      </c>
    </row>
    <row r="23" spans="2:10">
      <c r="B23" s="15" t="s">
        <v>492</v>
      </c>
      <c r="D23" s="38"/>
      <c r="E23" s="39"/>
      <c r="G23" s="24"/>
      <c r="H23" s="58">
        <f>SUM(H20:H22)</f>
        <v>959</v>
      </c>
      <c r="I23" s="58">
        <f>SUM(I20:I22)</f>
        <v>1.050138888888889</v>
      </c>
      <c r="J23" s="59" t="e">
        <f>SUM(J20:J22)</f>
        <v>#REF!</v>
      </c>
    </row>
    <row r="24" spans="2:10">
      <c r="B24" s="51" t="s">
        <v>1208</v>
      </c>
      <c r="C24" s="51"/>
      <c r="D24" s="52"/>
      <c r="E24" s="62"/>
      <c r="F24" s="52"/>
      <c r="G24" s="63"/>
      <c r="H24" s="53"/>
      <c r="I24" s="64"/>
      <c r="J24" s="63"/>
    </row>
    <row r="25" spans="2:10">
      <c r="B25" s="60" t="s">
        <v>1201</v>
      </c>
      <c r="C25" s="42" t="s">
        <v>981</v>
      </c>
      <c r="D25" s="47">
        <v>800</v>
      </c>
      <c r="E25" s="37">
        <f>1/D25</f>
        <v>1.25E-3</v>
      </c>
      <c r="F25" s="48" t="e">
        <f>#REF!</f>
        <v>#REF!</v>
      </c>
      <c r="G25" s="45" t="e">
        <f t="shared" si="0"/>
        <v>#REF!</v>
      </c>
      <c r="H25" s="61">
        <v>2251</v>
      </c>
      <c r="I25" s="44">
        <f t="shared" si="1"/>
        <v>2.8137500000000002</v>
      </c>
      <c r="J25" s="45" t="e">
        <f t="shared" si="2"/>
        <v>#REF!</v>
      </c>
    </row>
    <row r="26" spans="2:10">
      <c r="B26" s="9" t="s">
        <v>1206</v>
      </c>
      <c r="C26" s="6" t="s">
        <v>981</v>
      </c>
      <c r="D26" s="20">
        <v>1800</v>
      </c>
      <c r="E26" s="30">
        <f>1/D26</f>
        <v>5.5555555555555556E-4</v>
      </c>
      <c r="F26" s="46" t="e">
        <f>F25</f>
        <v>#REF!</v>
      </c>
      <c r="G26" s="19" t="e">
        <f t="shared" si="0"/>
        <v>#REF!</v>
      </c>
      <c r="H26" s="10">
        <v>515</v>
      </c>
      <c r="I26" s="18">
        <f t="shared" si="1"/>
        <v>0.28611111111111109</v>
      </c>
      <c r="J26" s="19" t="e">
        <f t="shared" si="2"/>
        <v>#REF!</v>
      </c>
    </row>
    <row r="27" spans="2:10">
      <c r="B27" s="8" t="s">
        <v>1207</v>
      </c>
      <c r="C27" s="6" t="s">
        <v>981</v>
      </c>
      <c r="D27" s="20">
        <v>300</v>
      </c>
      <c r="E27" s="113">
        <f>(1/D27)*16*(1/188.76)</f>
        <v>2.8254573709119167E-4</v>
      </c>
      <c r="F27" s="46" t="e">
        <f>#REF!</f>
        <v>#REF!</v>
      </c>
      <c r="G27" s="19" t="e">
        <f t="shared" si="0"/>
        <v>#REF!</v>
      </c>
      <c r="H27" s="10">
        <v>658</v>
      </c>
      <c r="I27" s="18">
        <f t="shared" si="1"/>
        <v>2.1933333333333334</v>
      </c>
      <c r="J27" s="19" t="e">
        <f t="shared" si="2"/>
        <v>#REF!</v>
      </c>
    </row>
    <row r="28" spans="2:10">
      <c r="B28" s="15" t="s">
        <v>492</v>
      </c>
      <c r="D28" s="33"/>
      <c r="E28" s="34"/>
      <c r="F28" s="68"/>
      <c r="G28" s="36"/>
      <c r="H28" s="69">
        <f>SUM(H25:H27)</f>
        <v>3424</v>
      </c>
      <c r="I28" s="70">
        <f>SUM(I25:I27)</f>
        <v>5.2931944444444445</v>
      </c>
      <c r="J28" s="71" t="e">
        <f>SUM(J25:J27)</f>
        <v>#REF!</v>
      </c>
    </row>
    <row r="29" spans="2:10">
      <c r="B29" s="51" t="s">
        <v>1209</v>
      </c>
      <c r="C29" s="51"/>
      <c r="D29" s="52"/>
      <c r="E29" s="62"/>
      <c r="F29" s="52"/>
      <c r="G29" s="63"/>
      <c r="H29" s="53"/>
      <c r="I29" s="64"/>
      <c r="J29" s="63"/>
    </row>
    <row r="30" spans="2:10">
      <c r="B30" s="72" t="s">
        <v>1201</v>
      </c>
      <c r="C30" s="6" t="s">
        <v>981</v>
      </c>
      <c r="D30" s="20">
        <v>800</v>
      </c>
      <c r="E30" s="30">
        <f>1/D30</f>
        <v>1.25E-3</v>
      </c>
      <c r="F30" s="46" t="e">
        <f>#REF!</f>
        <v>#REF!</v>
      </c>
      <c r="G30" s="19" t="e">
        <f t="shared" si="0"/>
        <v>#REF!</v>
      </c>
      <c r="H30" s="10">
        <v>550</v>
      </c>
      <c r="I30" s="18">
        <f t="shared" si="1"/>
        <v>0.6875</v>
      </c>
      <c r="J30" s="19" t="e">
        <f t="shared" si="2"/>
        <v>#REF!</v>
      </c>
    </row>
    <row r="31" spans="2:10">
      <c r="B31" s="73" t="s">
        <v>1206</v>
      </c>
      <c r="C31" s="6" t="s">
        <v>981</v>
      </c>
      <c r="D31" s="20">
        <v>1800</v>
      </c>
      <c r="E31" s="30">
        <f>1/D31</f>
        <v>5.5555555555555556E-4</v>
      </c>
      <c r="F31" s="46" t="e">
        <f>F30</f>
        <v>#REF!</v>
      </c>
      <c r="G31" s="19" t="e">
        <f t="shared" si="0"/>
        <v>#REF!</v>
      </c>
      <c r="H31" s="10">
        <v>250</v>
      </c>
      <c r="I31" s="18">
        <f t="shared" si="1"/>
        <v>0.1388888888888889</v>
      </c>
      <c r="J31" s="19" t="e">
        <f t="shared" si="2"/>
        <v>#REF!</v>
      </c>
    </row>
    <row r="32" spans="2:10">
      <c r="B32" s="74" t="s">
        <v>1207</v>
      </c>
      <c r="C32" s="6" t="s">
        <v>981</v>
      </c>
      <c r="D32" s="20">
        <v>300</v>
      </c>
      <c r="E32" s="113">
        <f>(1/D32)*16*(1/188.76)</f>
        <v>2.8254573709119167E-4</v>
      </c>
      <c r="F32" s="46" t="e">
        <f>#REF!</f>
        <v>#REF!</v>
      </c>
      <c r="G32" s="19" t="e">
        <f t="shared" si="0"/>
        <v>#REF!</v>
      </c>
      <c r="H32" s="10">
        <v>52</v>
      </c>
      <c r="I32" s="18">
        <f t="shared" si="1"/>
        <v>0.17333333333333334</v>
      </c>
      <c r="J32" s="19" t="e">
        <f t="shared" si="2"/>
        <v>#REF!</v>
      </c>
    </row>
    <row r="33" spans="2:17">
      <c r="B33" s="15" t="s">
        <v>492</v>
      </c>
      <c r="C33" s="83"/>
      <c r="D33" s="80"/>
      <c r="E33" s="34"/>
      <c r="F33" s="81"/>
      <c r="G33" s="82"/>
      <c r="H33" s="69">
        <f>SUM(H30:H32)</f>
        <v>852</v>
      </c>
      <c r="I33" s="70">
        <f>SUM(I30:I32)</f>
        <v>0.99972222222222218</v>
      </c>
      <c r="J33" s="71" t="e">
        <f>SUM(J30:J32)</f>
        <v>#REF!</v>
      </c>
    </row>
    <row r="34" spans="2:17">
      <c r="B34" s="51" t="s">
        <v>792</v>
      </c>
      <c r="C34" s="51"/>
      <c r="D34" s="52"/>
      <c r="E34" s="62"/>
      <c r="F34" s="52"/>
      <c r="G34" s="63"/>
      <c r="H34" s="53"/>
      <c r="I34" s="64"/>
      <c r="J34" s="63"/>
    </row>
    <row r="35" spans="2:17">
      <c r="B35" s="60" t="s">
        <v>1201</v>
      </c>
      <c r="C35" s="6" t="s">
        <v>981</v>
      </c>
      <c r="D35" s="20">
        <v>800</v>
      </c>
      <c r="E35" s="30">
        <f>1/D35</f>
        <v>1.25E-3</v>
      </c>
      <c r="F35" s="19" t="e">
        <f>#REF!</f>
        <v>#REF!</v>
      </c>
      <c r="G35" s="19" t="e">
        <f t="shared" si="0"/>
        <v>#REF!</v>
      </c>
      <c r="H35" s="10">
        <v>1424</v>
      </c>
      <c r="I35" s="18">
        <f t="shared" si="1"/>
        <v>1.78</v>
      </c>
      <c r="J35" s="19" t="e">
        <f t="shared" si="2"/>
        <v>#REF!</v>
      </c>
    </row>
    <row r="36" spans="2:17">
      <c r="B36" s="9" t="s">
        <v>1206</v>
      </c>
      <c r="C36" s="6" t="s">
        <v>981</v>
      </c>
      <c r="D36" s="20">
        <v>1800</v>
      </c>
      <c r="E36" s="30">
        <f>1/D36</f>
        <v>5.5555555555555556E-4</v>
      </c>
      <c r="F36" s="19" t="e">
        <f>F35</f>
        <v>#REF!</v>
      </c>
      <c r="G36" s="19" t="e">
        <f t="shared" si="0"/>
        <v>#REF!</v>
      </c>
      <c r="H36" s="10">
        <v>706</v>
      </c>
      <c r="I36" s="18">
        <f t="shared" si="1"/>
        <v>0.39222222222222225</v>
      </c>
      <c r="J36" s="19" t="e">
        <f t="shared" si="2"/>
        <v>#REF!</v>
      </c>
    </row>
    <row r="37" spans="2:17">
      <c r="B37" s="8" t="s">
        <v>1207</v>
      </c>
      <c r="C37" s="6" t="s">
        <v>981</v>
      </c>
      <c r="D37" s="20">
        <v>300</v>
      </c>
      <c r="E37" s="113">
        <f>(1/D37)*16*(1/188.76)</f>
        <v>2.8254573709119167E-4</v>
      </c>
      <c r="F37" s="19" t="e">
        <f>#REF!</f>
        <v>#REF!</v>
      </c>
      <c r="G37" s="19" t="e">
        <f t="shared" si="0"/>
        <v>#REF!</v>
      </c>
      <c r="H37" s="10">
        <v>326</v>
      </c>
      <c r="I37" s="18">
        <f t="shared" si="1"/>
        <v>1.0866666666666667</v>
      </c>
      <c r="J37" s="19" t="e">
        <f t="shared" si="2"/>
        <v>#REF!</v>
      </c>
    </row>
    <row r="38" spans="2:17">
      <c r="B38" s="15" t="s">
        <v>492</v>
      </c>
      <c r="C38" s="12"/>
      <c r="D38" s="41"/>
      <c r="E38" s="39"/>
      <c r="G38" s="24"/>
      <c r="H38" s="13">
        <f>SUM(H35:H37)</f>
        <v>2456</v>
      </c>
      <c r="I38" s="65">
        <f>SUM(I35:I37)</f>
        <v>3.2588888888888894</v>
      </c>
      <c r="J38" s="66" t="e">
        <f>SUM(J35:J37)</f>
        <v>#REF!</v>
      </c>
    </row>
    <row r="39" spans="2:17">
      <c r="B39" s="51" t="s">
        <v>791</v>
      </c>
      <c r="C39" s="51"/>
      <c r="D39" s="52"/>
      <c r="E39" s="62"/>
      <c r="F39" s="52"/>
      <c r="G39" s="63"/>
      <c r="H39" s="53"/>
      <c r="I39" s="64"/>
      <c r="J39" s="63"/>
    </row>
    <row r="40" spans="2:17">
      <c r="B40" s="60" t="s">
        <v>1201</v>
      </c>
      <c r="C40" s="42" t="s">
        <v>981</v>
      </c>
      <c r="D40" s="47">
        <v>800</v>
      </c>
      <c r="E40" s="37">
        <f>1/D40</f>
        <v>1.25E-3</v>
      </c>
      <c r="F40" s="45" t="e">
        <f>#REF!</f>
        <v>#REF!</v>
      </c>
      <c r="G40" s="45" t="e">
        <f t="shared" si="0"/>
        <v>#REF!</v>
      </c>
      <c r="H40" s="61">
        <v>1443</v>
      </c>
      <c r="I40" s="44">
        <f t="shared" si="1"/>
        <v>1.80375</v>
      </c>
      <c r="J40" s="45" t="e">
        <f t="shared" si="2"/>
        <v>#REF!</v>
      </c>
    </row>
    <row r="41" spans="2:17">
      <c r="B41" s="9" t="s">
        <v>1206</v>
      </c>
      <c r="C41" s="6" t="s">
        <v>981</v>
      </c>
      <c r="D41" s="20">
        <v>1800</v>
      </c>
      <c r="E41" s="30">
        <f>1/D41</f>
        <v>5.5555555555555556E-4</v>
      </c>
      <c r="F41" s="19" t="e">
        <f>F40</f>
        <v>#REF!</v>
      </c>
      <c r="G41" s="19" t="e">
        <f t="shared" si="0"/>
        <v>#REF!</v>
      </c>
      <c r="H41" s="10">
        <v>75</v>
      </c>
      <c r="I41" s="18">
        <f t="shared" si="1"/>
        <v>4.1666666666666664E-2</v>
      </c>
      <c r="J41" s="19" t="e">
        <f t="shared" si="2"/>
        <v>#REF!</v>
      </c>
    </row>
    <row r="42" spans="2:17" ht="15">
      <c r="B42" s="8" t="s">
        <v>1207</v>
      </c>
      <c r="C42" s="6" t="s">
        <v>981</v>
      </c>
      <c r="D42" s="20">
        <v>300</v>
      </c>
      <c r="E42" s="113">
        <f>(1/D42)*16*(1/188.76)</f>
        <v>2.8254573709119167E-4</v>
      </c>
      <c r="F42" s="19" t="e">
        <f>#REF!</f>
        <v>#REF!</v>
      </c>
      <c r="G42" s="19" t="e">
        <f t="shared" si="0"/>
        <v>#REF!</v>
      </c>
      <c r="H42" s="10">
        <v>266</v>
      </c>
      <c r="I42" s="18">
        <f t="shared" si="1"/>
        <v>0.88666666666666671</v>
      </c>
      <c r="J42" s="19" t="e">
        <f t="shared" si="2"/>
        <v>#REF!</v>
      </c>
      <c r="L42" s="28"/>
      <c r="M42" s="28"/>
      <c r="N42" s="28"/>
      <c r="O42" s="28"/>
      <c r="P42" s="28"/>
      <c r="Q42" s="28"/>
    </row>
    <row r="43" spans="2:17" ht="15">
      <c r="B43" s="15" t="s">
        <v>492</v>
      </c>
      <c r="C43" s="79"/>
      <c r="D43" s="38"/>
      <c r="E43" s="39"/>
      <c r="F43" s="84"/>
      <c r="G43" s="40"/>
      <c r="H43" s="85">
        <f>SUM(H40:H42)</f>
        <v>1784</v>
      </c>
      <c r="I43" s="70">
        <f>SUM(I40:I42)</f>
        <v>2.7320833333333336</v>
      </c>
      <c r="J43" s="71" t="e">
        <f>SUM(J40:J42)</f>
        <v>#REF!</v>
      </c>
      <c r="L43" s="28"/>
      <c r="M43" s="28"/>
      <c r="N43" s="28"/>
      <c r="O43" s="28"/>
      <c r="P43" s="28"/>
      <c r="Q43" s="28"/>
    </row>
    <row r="44" spans="2:17">
      <c r="B44" s="51" t="s">
        <v>793</v>
      </c>
      <c r="C44" s="51"/>
      <c r="D44" s="52"/>
      <c r="E44" s="62"/>
      <c r="F44" s="52"/>
      <c r="G44" s="63"/>
      <c r="H44" s="53"/>
      <c r="I44" s="64"/>
      <c r="J44" s="63"/>
    </row>
    <row r="45" spans="2:17">
      <c r="B45" s="60" t="s">
        <v>1201</v>
      </c>
      <c r="C45" s="42" t="s">
        <v>981</v>
      </c>
      <c r="D45" s="47">
        <v>800</v>
      </c>
      <c r="E45" s="37">
        <f>1/D45</f>
        <v>1.25E-3</v>
      </c>
      <c r="F45" s="48" t="e">
        <f>#REF!</f>
        <v>#REF!</v>
      </c>
      <c r="G45" s="45" t="e">
        <f t="shared" si="0"/>
        <v>#REF!</v>
      </c>
      <c r="H45" s="61">
        <v>1593</v>
      </c>
      <c r="I45" s="44">
        <f t="shared" si="1"/>
        <v>1.99125</v>
      </c>
      <c r="J45" s="45" t="e">
        <f t="shared" si="2"/>
        <v>#REF!</v>
      </c>
    </row>
    <row r="46" spans="2:17">
      <c r="B46" s="9" t="s">
        <v>1206</v>
      </c>
      <c r="C46" s="6" t="s">
        <v>981</v>
      </c>
      <c r="D46" s="20">
        <v>1800</v>
      </c>
      <c r="E46" s="30">
        <f>1/D46</f>
        <v>5.5555555555555556E-4</v>
      </c>
      <c r="F46" s="46" t="e">
        <f>F45</f>
        <v>#REF!</v>
      </c>
      <c r="G46" s="19" t="e">
        <f t="shared" si="0"/>
        <v>#REF!</v>
      </c>
      <c r="H46" s="10">
        <v>2000</v>
      </c>
      <c r="I46" s="18">
        <f t="shared" si="1"/>
        <v>1.1111111111111112</v>
      </c>
      <c r="J46" s="19" t="e">
        <f t="shared" si="2"/>
        <v>#REF!</v>
      </c>
    </row>
    <row r="47" spans="2:17">
      <c r="B47" s="8" t="s">
        <v>1207</v>
      </c>
      <c r="C47" s="6" t="s">
        <v>981</v>
      </c>
      <c r="D47" s="20">
        <v>300</v>
      </c>
      <c r="E47" s="113">
        <f>(1/D47)*16*(1/188.76)</f>
        <v>2.8254573709119167E-4</v>
      </c>
      <c r="F47" s="46" t="e">
        <f>#REF!</f>
        <v>#REF!</v>
      </c>
      <c r="G47" s="19" t="e">
        <f t="shared" si="0"/>
        <v>#REF!</v>
      </c>
      <c r="H47" s="10">
        <v>221</v>
      </c>
      <c r="I47" s="18">
        <f t="shared" si="1"/>
        <v>0.73666666666666669</v>
      </c>
      <c r="J47" s="19" t="e">
        <f t="shared" si="2"/>
        <v>#REF!</v>
      </c>
    </row>
    <row r="48" spans="2:17">
      <c r="B48" s="15" t="s">
        <v>492</v>
      </c>
      <c r="C48" s="79"/>
      <c r="D48" s="38"/>
      <c r="E48" s="39"/>
      <c r="F48" s="84"/>
      <c r="G48" s="40"/>
      <c r="H48" s="85">
        <f>SUM(H45:H47)</f>
        <v>3814</v>
      </c>
      <c r="I48" s="70">
        <f>SUM(I45:I47)</f>
        <v>3.8390277777777779</v>
      </c>
      <c r="J48" s="71" t="e">
        <f>SUM(J45:J47)</f>
        <v>#REF!</v>
      </c>
    </row>
    <row r="49" spans="2:17">
      <c r="B49" s="51" t="s">
        <v>794</v>
      </c>
      <c r="C49" s="51"/>
      <c r="D49" s="78"/>
      <c r="E49" s="62"/>
      <c r="F49" s="52"/>
      <c r="G49" s="63"/>
      <c r="H49" s="53"/>
      <c r="I49" s="64"/>
      <c r="J49" s="63"/>
    </row>
    <row r="50" spans="2:17">
      <c r="B50" s="42" t="s">
        <v>1201</v>
      </c>
      <c r="C50" s="42" t="s">
        <v>981</v>
      </c>
      <c r="D50" s="20">
        <v>800</v>
      </c>
      <c r="E50" s="30">
        <f>1/D50</f>
        <v>1.25E-3</v>
      </c>
      <c r="F50" s="87" t="e">
        <f>#REF!</f>
        <v>#REF!</v>
      </c>
      <c r="G50" s="32" t="e">
        <f t="shared" si="0"/>
        <v>#REF!</v>
      </c>
      <c r="H50" s="86">
        <v>5259.72</v>
      </c>
      <c r="I50" s="31">
        <f t="shared" si="1"/>
        <v>6.5746500000000001</v>
      </c>
      <c r="J50" s="32" t="e">
        <f t="shared" si="2"/>
        <v>#REF!</v>
      </c>
    </row>
    <row r="51" spans="2:17">
      <c r="B51" s="6" t="s">
        <v>1202</v>
      </c>
      <c r="C51" s="6" t="s">
        <v>981</v>
      </c>
      <c r="D51" s="20">
        <v>1800</v>
      </c>
      <c r="E51" s="30">
        <f>1/D51</f>
        <v>5.5555555555555556E-4</v>
      </c>
      <c r="F51" s="87" t="e">
        <f>F50</f>
        <v>#REF!</v>
      </c>
      <c r="G51" s="32" t="e">
        <f t="shared" si="0"/>
        <v>#REF!</v>
      </c>
      <c r="H51" s="86">
        <v>219.75</v>
      </c>
      <c r="I51" s="31">
        <f t="shared" si="1"/>
        <v>0.12208333333333334</v>
      </c>
      <c r="J51" s="32" t="e">
        <f t="shared" si="2"/>
        <v>#REF!</v>
      </c>
    </row>
    <row r="52" spans="2:17" s="122" customFormat="1" ht="27" customHeight="1">
      <c r="B52" s="116" t="s">
        <v>1187</v>
      </c>
      <c r="C52" s="116" t="s">
        <v>1186</v>
      </c>
      <c r="D52" s="124">
        <v>300</v>
      </c>
      <c r="E52" s="117">
        <f>(1/D52)*16*(1/188.76)</f>
        <v>2.8254573709119167E-4</v>
      </c>
      <c r="F52" s="118" t="e">
        <f>#REF!</f>
        <v>#REF!</v>
      </c>
      <c r="G52" s="119" t="e">
        <f t="shared" si="0"/>
        <v>#REF!</v>
      </c>
      <c r="H52" s="120">
        <v>398.85</v>
      </c>
      <c r="I52" s="121">
        <f t="shared" si="1"/>
        <v>1.3295000000000001</v>
      </c>
      <c r="J52" s="119" t="e">
        <f t="shared" si="2"/>
        <v>#REF!</v>
      </c>
      <c r="L52" s="123"/>
      <c r="M52" s="123"/>
      <c r="N52" s="123"/>
      <c r="O52" s="123"/>
      <c r="P52" s="123"/>
      <c r="Q52" s="123"/>
    </row>
    <row r="53" spans="2:17">
      <c r="B53" s="15" t="s">
        <v>492</v>
      </c>
      <c r="C53" s="15"/>
      <c r="D53" s="38"/>
      <c r="E53" s="39"/>
      <c r="F53" s="84"/>
      <c r="G53" s="40"/>
      <c r="H53" s="88">
        <f>SUM(H50:H52)</f>
        <v>5878.3200000000006</v>
      </c>
      <c r="I53" s="88">
        <f>SUM(I50:I52)</f>
        <v>8.0262333333333338</v>
      </c>
      <c r="J53" s="89" t="e">
        <f>SUM(J50:J52)</f>
        <v>#REF!</v>
      </c>
    </row>
    <row r="54" spans="2:17">
      <c r="B54" s="51" t="s">
        <v>795</v>
      </c>
      <c r="C54" s="51"/>
      <c r="D54" s="78"/>
      <c r="E54" s="62"/>
      <c r="F54" s="52"/>
      <c r="G54" s="63"/>
      <c r="H54" s="53"/>
      <c r="I54" s="64"/>
      <c r="J54" s="63"/>
    </row>
    <row r="55" spans="2:17">
      <c r="B55" s="8" t="s">
        <v>1201</v>
      </c>
      <c r="C55" s="6" t="s">
        <v>981</v>
      </c>
      <c r="D55" s="20">
        <v>800</v>
      </c>
      <c r="E55" s="30">
        <f>1/D55</f>
        <v>1.25E-3</v>
      </c>
      <c r="F55" s="46" t="e">
        <f>#REF!</f>
        <v>#REF!</v>
      </c>
      <c r="G55" s="19" t="e">
        <f t="shared" si="0"/>
        <v>#REF!</v>
      </c>
      <c r="H55" s="10">
        <v>1170</v>
      </c>
      <c r="I55" s="18">
        <f t="shared" si="1"/>
        <v>1.4624999999999999</v>
      </c>
      <c r="J55" s="19" t="e">
        <f t="shared" si="2"/>
        <v>#REF!</v>
      </c>
    </row>
    <row r="56" spans="2:17">
      <c r="B56" s="8" t="s">
        <v>1206</v>
      </c>
      <c r="C56" s="6" t="s">
        <v>981</v>
      </c>
      <c r="D56" s="20">
        <v>1800</v>
      </c>
      <c r="E56" s="30">
        <f>1/D56</f>
        <v>5.5555555555555556E-4</v>
      </c>
      <c r="F56" s="46" t="e">
        <f>F55</f>
        <v>#REF!</v>
      </c>
      <c r="G56" s="19" t="e">
        <f t="shared" si="0"/>
        <v>#REF!</v>
      </c>
      <c r="H56" s="10">
        <v>303</v>
      </c>
      <c r="I56" s="18">
        <f t="shared" si="1"/>
        <v>0.16833333333333333</v>
      </c>
      <c r="J56" s="19" t="e">
        <f t="shared" si="2"/>
        <v>#REF!</v>
      </c>
    </row>
    <row r="57" spans="2:17">
      <c r="B57" s="8" t="s">
        <v>1207</v>
      </c>
      <c r="C57" s="6" t="s">
        <v>981</v>
      </c>
      <c r="D57" s="20">
        <v>300</v>
      </c>
      <c r="E57" s="113">
        <f>(1/D57)*16*(1/188.76)</f>
        <v>2.8254573709119167E-4</v>
      </c>
      <c r="F57" s="46" t="e">
        <f>#REF!</f>
        <v>#REF!</v>
      </c>
      <c r="G57" s="19" t="e">
        <f t="shared" si="0"/>
        <v>#REF!</v>
      </c>
      <c r="H57" s="10">
        <v>53</v>
      </c>
      <c r="I57" s="18">
        <f t="shared" si="1"/>
        <v>0.17666666666666667</v>
      </c>
      <c r="J57" s="19" t="e">
        <f t="shared" si="2"/>
        <v>#REF!</v>
      </c>
    </row>
    <row r="58" spans="2:17">
      <c r="B58" s="15" t="s">
        <v>492</v>
      </c>
      <c r="C58" s="79"/>
      <c r="D58" s="38"/>
      <c r="E58" s="39"/>
      <c r="F58" s="84"/>
      <c r="G58" s="40"/>
      <c r="H58" s="90">
        <f>SUM(H55:H57)</f>
        <v>1526</v>
      </c>
      <c r="I58" s="90">
        <f>SUM(I55:I57)</f>
        <v>1.8075000000000001</v>
      </c>
      <c r="J58" s="27" t="e">
        <f>SUM(J55:J57)</f>
        <v>#REF!</v>
      </c>
    </row>
    <row r="59" spans="2:17">
      <c r="B59" s="51" t="s">
        <v>796</v>
      </c>
      <c r="C59" s="51"/>
      <c r="D59" s="78"/>
      <c r="E59" s="62"/>
      <c r="F59" s="52"/>
      <c r="G59" s="63"/>
      <c r="H59" s="53"/>
      <c r="I59" s="64"/>
      <c r="J59" s="63"/>
    </row>
    <row r="60" spans="2:17">
      <c r="B60" s="8" t="s">
        <v>1201</v>
      </c>
      <c r="C60" s="6" t="s">
        <v>981</v>
      </c>
      <c r="D60" s="20">
        <v>800</v>
      </c>
      <c r="E60" s="30">
        <f>1/D60</f>
        <v>1.25E-3</v>
      </c>
      <c r="F60" s="46" t="e">
        <f>#REF!</f>
        <v>#REF!</v>
      </c>
      <c r="G60" s="19" t="e">
        <f t="shared" si="0"/>
        <v>#REF!</v>
      </c>
      <c r="H60" s="10">
        <v>1173</v>
      </c>
      <c r="I60" s="18">
        <f t="shared" si="1"/>
        <v>1.4662500000000001</v>
      </c>
      <c r="J60" s="19" t="e">
        <f t="shared" si="2"/>
        <v>#REF!</v>
      </c>
    </row>
    <row r="61" spans="2:17">
      <c r="B61" s="8" t="s">
        <v>1206</v>
      </c>
      <c r="C61" s="6" t="s">
        <v>981</v>
      </c>
      <c r="D61" s="20">
        <v>1800</v>
      </c>
      <c r="E61" s="30">
        <f>1/D61</f>
        <v>5.5555555555555556E-4</v>
      </c>
      <c r="F61" s="46" t="e">
        <f>F60</f>
        <v>#REF!</v>
      </c>
      <c r="G61" s="19" t="e">
        <f t="shared" si="0"/>
        <v>#REF!</v>
      </c>
      <c r="H61" s="10">
        <v>6034</v>
      </c>
      <c r="I61" s="18">
        <f t="shared" si="1"/>
        <v>3.3522222222222222</v>
      </c>
      <c r="J61" s="19" t="e">
        <f t="shared" si="2"/>
        <v>#REF!</v>
      </c>
    </row>
    <row r="62" spans="2:17">
      <c r="B62" s="8" t="s">
        <v>1207</v>
      </c>
      <c r="C62" s="6" t="s">
        <v>981</v>
      </c>
      <c r="D62" s="20">
        <v>300</v>
      </c>
      <c r="E62" s="113">
        <f>(1/D62)*16*(1/188.76)</f>
        <v>2.8254573709119167E-4</v>
      </c>
      <c r="F62" s="46" t="e">
        <f>#REF!</f>
        <v>#REF!</v>
      </c>
      <c r="G62" s="19" t="e">
        <f t="shared" si="0"/>
        <v>#REF!</v>
      </c>
      <c r="H62" s="10">
        <v>266</v>
      </c>
      <c r="I62" s="18">
        <f t="shared" si="1"/>
        <v>0.88666666666666671</v>
      </c>
      <c r="J62" s="19" t="e">
        <f t="shared" si="2"/>
        <v>#REF!</v>
      </c>
    </row>
    <row r="63" spans="2:17">
      <c r="B63" s="15" t="s">
        <v>492</v>
      </c>
      <c r="C63" s="79"/>
      <c r="D63" s="38"/>
      <c r="E63" s="39"/>
      <c r="F63" s="84"/>
      <c r="G63" s="40"/>
      <c r="H63" s="90">
        <f>SUM(H60:H62)</f>
        <v>7473</v>
      </c>
      <c r="I63" s="90">
        <f>SUM(I60:I62)</f>
        <v>5.7051388888888894</v>
      </c>
      <c r="J63" s="27" t="e">
        <f>SUM(J60:J62)</f>
        <v>#REF!</v>
      </c>
    </row>
    <row r="64" spans="2:17">
      <c r="B64" s="51" t="s">
        <v>1210</v>
      </c>
      <c r="C64" s="51"/>
      <c r="D64" s="78"/>
      <c r="E64" s="62"/>
      <c r="F64" s="92"/>
      <c r="G64" s="63"/>
      <c r="H64" s="53"/>
      <c r="I64" s="64"/>
      <c r="J64" s="63"/>
    </row>
    <row r="65" spans="2:10">
      <c r="B65" s="60" t="s">
        <v>1201</v>
      </c>
      <c r="C65" s="42" t="s">
        <v>981</v>
      </c>
      <c r="D65" s="47">
        <v>800</v>
      </c>
      <c r="E65" s="37">
        <f>1/D65</f>
        <v>1.25E-3</v>
      </c>
      <c r="F65" s="22" t="e">
        <f>#REF!</f>
        <v>#REF!</v>
      </c>
      <c r="G65" s="23" t="e">
        <f t="shared" si="0"/>
        <v>#REF!</v>
      </c>
      <c r="H65" s="61">
        <v>3150</v>
      </c>
      <c r="I65" s="44">
        <f t="shared" si="1"/>
        <v>3.9375</v>
      </c>
      <c r="J65" s="45" t="e">
        <f t="shared" si="2"/>
        <v>#REF!</v>
      </c>
    </row>
    <row r="66" spans="2:10">
      <c r="B66" s="9" t="s">
        <v>1206</v>
      </c>
      <c r="C66" s="56" t="s">
        <v>981</v>
      </c>
      <c r="D66" s="33">
        <v>1800</v>
      </c>
      <c r="E66" s="34">
        <f>1/D66</f>
        <v>5.5555555555555556E-4</v>
      </c>
      <c r="F66" s="22" t="e">
        <f>F65</f>
        <v>#REF!</v>
      </c>
      <c r="G66" s="23" t="e">
        <f t="shared" si="0"/>
        <v>#REF!</v>
      </c>
      <c r="H66" s="91">
        <v>4000</v>
      </c>
      <c r="I66" s="35">
        <f t="shared" si="1"/>
        <v>2.2222222222222223</v>
      </c>
      <c r="J66" s="36" t="e">
        <f t="shared" si="2"/>
        <v>#REF!</v>
      </c>
    </row>
    <row r="67" spans="2:10">
      <c r="B67" s="8" t="s">
        <v>1207</v>
      </c>
      <c r="C67" s="6" t="s">
        <v>981</v>
      </c>
      <c r="D67" s="20">
        <v>300</v>
      </c>
      <c r="E67" s="113">
        <f>(1/D67)*16*(1/188.76)</f>
        <v>2.8254573709119167E-4</v>
      </c>
      <c r="F67" s="46" t="e">
        <f>#REF!</f>
        <v>#REF!</v>
      </c>
      <c r="G67" s="19" t="e">
        <f t="shared" si="0"/>
        <v>#REF!</v>
      </c>
      <c r="H67" s="10">
        <v>224</v>
      </c>
      <c r="I67" s="18">
        <f t="shared" si="1"/>
        <v>0.7466666666666667</v>
      </c>
      <c r="J67" s="19" t="e">
        <f t="shared" si="2"/>
        <v>#REF!</v>
      </c>
    </row>
    <row r="68" spans="2:10">
      <c r="B68" s="15" t="s">
        <v>492</v>
      </c>
      <c r="C68" s="79"/>
      <c r="D68" s="38"/>
      <c r="E68" s="39"/>
      <c r="F68" s="84"/>
      <c r="G68" s="40"/>
      <c r="H68" s="90">
        <f>SUM(H65:H67)</f>
        <v>7374</v>
      </c>
      <c r="I68" s="90">
        <f>SUM(I65:I67)</f>
        <v>6.9063888888888894</v>
      </c>
      <c r="J68" s="27" t="e">
        <f>SUM(J65:J67)</f>
        <v>#REF!</v>
      </c>
    </row>
    <row r="69" spans="2:10">
      <c r="B69" s="51" t="s">
        <v>798</v>
      </c>
      <c r="C69" s="51"/>
      <c r="D69" s="78"/>
      <c r="E69" s="62"/>
      <c r="F69" s="52"/>
      <c r="G69" s="63"/>
      <c r="H69" s="53"/>
      <c r="I69" s="64"/>
      <c r="J69" s="63"/>
    </row>
    <row r="70" spans="2:10">
      <c r="B70" s="8" t="s">
        <v>1201</v>
      </c>
      <c r="C70" s="6" t="s">
        <v>981</v>
      </c>
      <c r="D70" s="20">
        <v>800</v>
      </c>
      <c r="E70" s="30">
        <f>1/D70</f>
        <v>1.25E-3</v>
      </c>
      <c r="F70" s="46" t="e">
        <f>#REF!</f>
        <v>#REF!</v>
      </c>
      <c r="G70" s="19" t="e">
        <f t="shared" si="0"/>
        <v>#REF!</v>
      </c>
      <c r="H70" s="10">
        <v>1015</v>
      </c>
      <c r="I70" s="18">
        <f t="shared" si="1"/>
        <v>1.26875</v>
      </c>
      <c r="J70" s="19" t="e">
        <f t="shared" si="2"/>
        <v>#REF!</v>
      </c>
    </row>
    <row r="71" spans="2:10">
      <c r="B71" s="8" t="s">
        <v>1206</v>
      </c>
      <c r="C71" s="6" t="s">
        <v>981</v>
      </c>
      <c r="D71" s="20">
        <v>1800</v>
      </c>
      <c r="E71" s="30">
        <f>1/D71</f>
        <v>5.5555555555555556E-4</v>
      </c>
      <c r="F71" s="46" t="e">
        <f>F70</f>
        <v>#REF!</v>
      </c>
      <c r="G71" s="19" t="e">
        <f t="shared" si="0"/>
        <v>#REF!</v>
      </c>
      <c r="H71" s="10">
        <v>372</v>
      </c>
      <c r="I71" s="18">
        <f t="shared" si="1"/>
        <v>0.20666666666666667</v>
      </c>
      <c r="J71" s="19" t="e">
        <f t="shared" si="2"/>
        <v>#REF!</v>
      </c>
    </row>
    <row r="72" spans="2:10">
      <c r="B72" s="8" t="s">
        <v>1207</v>
      </c>
      <c r="C72" s="6" t="s">
        <v>981</v>
      </c>
      <c r="D72" s="20">
        <v>300</v>
      </c>
      <c r="E72" s="113">
        <f>(1/D72)*16*(1/188.76)</f>
        <v>2.8254573709119167E-4</v>
      </c>
      <c r="F72" s="46" t="e">
        <f>#REF!</f>
        <v>#REF!</v>
      </c>
      <c r="G72" s="19" t="e">
        <f t="shared" si="0"/>
        <v>#REF!</v>
      </c>
      <c r="H72" s="10">
        <v>55</v>
      </c>
      <c r="I72" s="18">
        <f t="shared" si="1"/>
        <v>0.18333333333333332</v>
      </c>
      <c r="J72" s="19" t="e">
        <f t="shared" si="2"/>
        <v>#REF!</v>
      </c>
    </row>
    <row r="73" spans="2:10">
      <c r="B73" s="15" t="s">
        <v>492</v>
      </c>
      <c r="C73" s="79"/>
      <c r="D73" s="38"/>
      <c r="E73" s="39"/>
      <c r="F73" s="84"/>
      <c r="G73" s="40"/>
      <c r="H73" s="13">
        <f>SUM(H70:H72)</f>
        <v>1442</v>
      </c>
      <c r="I73" s="13">
        <f>SUM(I70:I72)</f>
        <v>1.6587500000000002</v>
      </c>
      <c r="J73" s="93" t="e">
        <f>SUM(J70:J72)</f>
        <v>#REF!</v>
      </c>
    </row>
    <row r="74" spans="2:10">
      <c r="B74" s="51" t="s">
        <v>1211</v>
      </c>
      <c r="C74" s="51"/>
      <c r="D74" s="78"/>
      <c r="E74" s="62"/>
      <c r="F74" s="52"/>
      <c r="G74" s="63"/>
      <c r="H74" s="53"/>
      <c r="I74" s="64"/>
      <c r="J74" s="63"/>
    </row>
    <row r="75" spans="2:10">
      <c r="B75" s="8" t="s">
        <v>1201</v>
      </c>
      <c r="C75" s="6" t="s">
        <v>981</v>
      </c>
      <c r="D75" s="20">
        <v>800</v>
      </c>
      <c r="E75" s="30">
        <f>1/D75</f>
        <v>1.25E-3</v>
      </c>
      <c r="F75" s="46" t="e">
        <f>#REF!</f>
        <v>#REF!</v>
      </c>
      <c r="G75" s="19" t="e">
        <f t="shared" si="0"/>
        <v>#REF!</v>
      </c>
      <c r="H75" s="10">
        <v>4196</v>
      </c>
      <c r="I75" s="18">
        <f t="shared" si="1"/>
        <v>5.2450000000000001</v>
      </c>
      <c r="J75" s="19" t="e">
        <f t="shared" si="2"/>
        <v>#REF!</v>
      </c>
    </row>
    <row r="76" spans="2:10">
      <c r="B76" s="8" t="s">
        <v>1206</v>
      </c>
      <c r="C76" s="6" t="s">
        <v>981</v>
      </c>
      <c r="D76" s="20">
        <v>1800</v>
      </c>
      <c r="E76" s="30">
        <f>1/D76</f>
        <v>5.5555555555555556E-4</v>
      </c>
      <c r="F76" s="46" t="e">
        <f>F75</f>
        <v>#REF!</v>
      </c>
      <c r="G76" s="19" t="e">
        <f t="shared" si="0"/>
        <v>#REF!</v>
      </c>
      <c r="H76" s="10">
        <v>3015</v>
      </c>
      <c r="I76" s="18">
        <f t="shared" si="1"/>
        <v>1.675</v>
      </c>
      <c r="J76" s="19" t="e">
        <f t="shared" si="2"/>
        <v>#REF!</v>
      </c>
    </row>
    <row r="77" spans="2:10">
      <c r="B77" s="8" t="s">
        <v>1207</v>
      </c>
      <c r="C77" s="6" t="s">
        <v>981</v>
      </c>
      <c r="D77" s="20">
        <v>300</v>
      </c>
      <c r="E77" s="113">
        <f>(1/D77)*16*(1/188.76)</f>
        <v>2.8254573709119167E-4</v>
      </c>
      <c r="F77" s="46" t="e">
        <f>#REF!</f>
        <v>#REF!</v>
      </c>
      <c r="G77" s="19" t="e">
        <f t="shared" si="0"/>
        <v>#REF!</v>
      </c>
      <c r="H77" s="10">
        <v>1172</v>
      </c>
      <c r="I77" s="18">
        <f t="shared" si="1"/>
        <v>3.9066666666666667</v>
      </c>
      <c r="J77" s="19" t="e">
        <f t="shared" si="2"/>
        <v>#REF!</v>
      </c>
    </row>
    <row r="78" spans="2:10">
      <c r="B78" s="26" t="s">
        <v>492</v>
      </c>
      <c r="C78" s="79"/>
      <c r="D78" s="38"/>
      <c r="E78" s="39"/>
      <c r="F78" s="84"/>
      <c r="G78" s="40"/>
      <c r="H78" s="13">
        <f>SUM(H75:H77)</f>
        <v>8383</v>
      </c>
      <c r="I78" s="13">
        <f>SUM(I75:I77)</f>
        <v>10.826666666666666</v>
      </c>
      <c r="J78" s="93" t="e">
        <f>SUM(J75:J77)</f>
        <v>#REF!</v>
      </c>
    </row>
    <row r="79" spans="2:10">
      <c r="B79" s="51" t="s">
        <v>1212</v>
      </c>
      <c r="C79" s="51"/>
      <c r="D79" s="78"/>
      <c r="E79" s="62"/>
      <c r="F79" s="52"/>
      <c r="G79" s="63"/>
      <c r="H79" s="53"/>
      <c r="I79" s="64"/>
      <c r="J79" s="63"/>
    </row>
    <row r="80" spans="2:10">
      <c r="B80" s="8" t="s">
        <v>1201</v>
      </c>
      <c r="C80" s="6" t="s">
        <v>981</v>
      </c>
      <c r="D80" s="20">
        <v>800</v>
      </c>
      <c r="E80" s="30">
        <f>1/D80</f>
        <v>1.25E-3</v>
      </c>
      <c r="F80" s="46" t="e">
        <f>#REF!</f>
        <v>#REF!</v>
      </c>
      <c r="G80" s="19" t="e">
        <f t="shared" ref="G80:G117" si="3">F80*E80</f>
        <v>#REF!</v>
      </c>
      <c r="H80" s="10">
        <v>1692</v>
      </c>
      <c r="I80" s="18">
        <f t="shared" ref="I80:I117" si="4">H80/D80</f>
        <v>2.1150000000000002</v>
      </c>
      <c r="J80" s="19" t="e">
        <f t="shared" ref="J80:J117" si="5">G80*H80</f>
        <v>#REF!</v>
      </c>
    </row>
    <row r="81" spans="2:10">
      <c r="B81" s="8" t="s">
        <v>1206</v>
      </c>
      <c r="C81" s="6" t="s">
        <v>981</v>
      </c>
      <c r="D81" s="20">
        <v>1800</v>
      </c>
      <c r="E81" s="30">
        <f>1/D81</f>
        <v>5.5555555555555556E-4</v>
      </c>
      <c r="F81" s="46" t="e">
        <f>F80</f>
        <v>#REF!</v>
      </c>
      <c r="G81" s="19" t="e">
        <f t="shared" si="3"/>
        <v>#REF!</v>
      </c>
      <c r="H81" s="10">
        <v>200</v>
      </c>
      <c r="I81" s="18">
        <f t="shared" si="4"/>
        <v>0.1111111111111111</v>
      </c>
      <c r="J81" s="19" t="e">
        <f t="shared" si="5"/>
        <v>#REF!</v>
      </c>
    </row>
    <row r="82" spans="2:10">
      <c r="B82" s="8" t="s">
        <v>1207</v>
      </c>
      <c r="C82" s="6" t="s">
        <v>981</v>
      </c>
      <c r="D82" s="20">
        <v>300</v>
      </c>
      <c r="E82" s="113">
        <f>(1/D82)*16*(1/188.76)</f>
        <v>2.8254573709119167E-4</v>
      </c>
      <c r="F82" s="46" t="e">
        <f>#REF!</f>
        <v>#REF!</v>
      </c>
      <c r="G82" s="19" t="e">
        <f t="shared" si="3"/>
        <v>#REF!</v>
      </c>
      <c r="H82" s="10">
        <v>801</v>
      </c>
      <c r="I82" s="18">
        <f t="shared" si="4"/>
        <v>2.67</v>
      </c>
      <c r="J82" s="19" t="e">
        <f t="shared" si="5"/>
        <v>#REF!</v>
      </c>
    </row>
    <row r="83" spans="2:10">
      <c r="B83" s="15" t="s">
        <v>492</v>
      </c>
      <c r="C83" s="79"/>
      <c r="D83" s="38"/>
      <c r="E83" s="39"/>
      <c r="F83" s="84"/>
      <c r="G83" s="40"/>
      <c r="H83" s="13">
        <f>SUM(H80:H82)</f>
        <v>2693</v>
      </c>
      <c r="I83" s="13">
        <f>SUM(I80:I82)</f>
        <v>4.8961111111111109</v>
      </c>
      <c r="J83" s="93" t="e">
        <f>SUM(J80:J82)</f>
        <v>#REF!</v>
      </c>
    </row>
    <row r="84" spans="2:10">
      <c r="B84" s="51" t="s">
        <v>1213</v>
      </c>
      <c r="C84" s="51"/>
      <c r="D84" s="78"/>
      <c r="E84" s="62"/>
      <c r="F84" s="53"/>
      <c r="G84" s="63"/>
      <c r="H84" s="53"/>
      <c r="I84" s="64"/>
      <c r="J84" s="63"/>
    </row>
    <row r="85" spans="2:10">
      <c r="B85" s="8" t="s">
        <v>1201</v>
      </c>
      <c r="C85" s="6" t="s">
        <v>981</v>
      </c>
      <c r="D85" s="20">
        <v>800</v>
      </c>
      <c r="E85" s="30">
        <f>1/D85</f>
        <v>1.25E-3</v>
      </c>
      <c r="F85" s="46" t="e">
        <f>#REF!</f>
        <v>#REF!</v>
      </c>
      <c r="G85" s="19" t="e">
        <f t="shared" si="3"/>
        <v>#REF!</v>
      </c>
      <c r="H85" s="10">
        <v>2501</v>
      </c>
      <c r="I85" s="18">
        <f t="shared" si="4"/>
        <v>3.1262500000000002</v>
      </c>
      <c r="J85" s="19" t="e">
        <f t="shared" si="5"/>
        <v>#REF!</v>
      </c>
    </row>
    <row r="86" spans="2:10">
      <c r="B86" s="8" t="s">
        <v>1206</v>
      </c>
      <c r="C86" s="6" t="s">
        <v>981</v>
      </c>
      <c r="D86" s="20">
        <v>1800</v>
      </c>
      <c r="E86" s="30">
        <f>1/D86</f>
        <v>5.5555555555555556E-4</v>
      </c>
      <c r="F86" s="46" t="e">
        <f>F85</f>
        <v>#REF!</v>
      </c>
      <c r="G86" s="19" t="e">
        <f t="shared" si="3"/>
        <v>#REF!</v>
      </c>
      <c r="H86" s="10">
        <v>283</v>
      </c>
      <c r="I86" s="18">
        <f t="shared" si="4"/>
        <v>0.15722222222222224</v>
      </c>
      <c r="J86" s="19" t="e">
        <f t="shared" si="5"/>
        <v>#REF!</v>
      </c>
    </row>
    <row r="87" spans="2:10">
      <c r="B87" s="8" t="s">
        <v>1207</v>
      </c>
      <c r="C87" s="6" t="s">
        <v>981</v>
      </c>
      <c r="D87" s="20">
        <v>300</v>
      </c>
      <c r="E87" s="113">
        <f>(1/D87)*16*(1/188.76)</f>
        <v>2.8254573709119167E-4</v>
      </c>
      <c r="F87" s="46" t="e">
        <f>#REF!</f>
        <v>#REF!</v>
      </c>
      <c r="G87" s="19" t="e">
        <f t="shared" si="3"/>
        <v>#REF!</v>
      </c>
      <c r="H87" s="10">
        <v>326</v>
      </c>
      <c r="I87" s="18">
        <f t="shared" si="4"/>
        <v>1.0866666666666667</v>
      </c>
      <c r="J87" s="19" t="e">
        <f t="shared" si="5"/>
        <v>#REF!</v>
      </c>
    </row>
    <row r="88" spans="2:10">
      <c r="B88" s="15" t="s">
        <v>492</v>
      </c>
      <c r="C88" s="12"/>
      <c r="D88" s="38"/>
      <c r="E88" s="39"/>
      <c r="F88" s="22"/>
      <c r="G88" s="24"/>
      <c r="H88" s="13">
        <f>SUM(H85:H87)</f>
        <v>3110</v>
      </c>
      <c r="I88" s="13">
        <f>SUM(I85:I87)</f>
        <v>4.3701388888888895</v>
      </c>
      <c r="J88" s="93" t="e">
        <f>SUM(J85:J87)</f>
        <v>#REF!</v>
      </c>
    </row>
    <row r="89" spans="2:10">
      <c r="B89" s="51" t="s">
        <v>1214</v>
      </c>
      <c r="C89" s="51"/>
      <c r="D89" s="78"/>
      <c r="E89" s="62"/>
      <c r="F89" s="53"/>
      <c r="G89" s="63"/>
      <c r="H89" s="53"/>
      <c r="I89" s="64"/>
      <c r="J89" s="63"/>
    </row>
    <row r="90" spans="2:10">
      <c r="B90" s="8" t="s">
        <v>1201</v>
      </c>
      <c r="C90" s="6" t="s">
        <v>981</v>
      </c>
      <c r="D90" s="20">
        <v>800</v>
      </c>
      <c r="E90" s="30">
        <f>1/D90</f>
        <v>1.25E-3</v>
      </c>
      <c r="F90" s="46">
        <f>'STS-Republica'!N177</f>
        <v>0</v>
      </c>
      <c r="G90" s="19">
        <f t="shared" si="3"/>
        <v>0</v>
      </c>
      <c r="H90" s="10">
        <v>1068</v>
      </c>
      <c r="I90" s="18">
        <f t="shared" si="4"/>
        <v>1.335</v>
      </c>
      <c r="J90" s="19">
        <f t="shared" si="5"/>
        <v>0</v>
      </c>
    </row>
    <row r="91" spans="2:10">
      <c r="B91" s="8" t="s">
        <v>1206</v>
      </c>
      <c r="C91" s="6" t="s">
        <v>981</v>
      </c>
      <c r="D91" s="20">
        <v>1800</v>
      </c>
      <c r="E91" s="30">
        <f>1/D91</f>
        <v>5.5555555555555556E-4</v>
      </c>
      <c r="F91" s="46"/>
      <c r="G91" s="19">
        <f t="shared" si="3"/>
        <v>0</v>
      </c>
      <c r="H91" s="10"/>
      <c r="I91" s="18">
        <f t="shared" si="4"/>
        <v>0</v>
      </c>
      <c r="J91" s="19">
        <f t="shared" si="5"/>
        <v>0</v>
      </c>
    </row>
    <row r="92" spans="2:10">
      <c r="B92" s="8" t="s">
        <v>1207</v>
      </c>
      <c r="C92" s="6" t="s">
        <v>981</v>
      </c>
      <c r="D92" s="20">
        <v>300</v>
      </c>
      <c r="E92" s="113">
        <f>(1/D92)*16*(1/188.76)</f>
        <v>2.8254573709119167E-4</v>
      </c>
      <c r="F92" s="55"/>
      <c r="G92" s="19">
        <f t="shared" si="3"/>
        <v>0</v>
      </c>
      <c r="H92" s="10"/>
      <c r="I92" s="18">
        <f t="shared" si="4"/>
        <v>0</v>
      </c>
      <c r="J92" s="19">
        <f t="shared" si="5"/>
        <v>0</v>
      </c>
    </row>
    <row r="93" spans="2:10">
      <c r="B93" s="26" t="s">
        <v>492</v>
      </c>
      <c r="C93" s="79"/>
      <c r="D93" s="38"/>
      <c r="E93" s="39"/>
      <c r="F93" s="84"/>
      <c r="G93" s="40"/>
      <c r="H93" s="90">
        <f>SUM(H90:H92)</f>
        <v>1068</v>
      </c>
      <c r="I93" s="90">
        <f>SUM(I90:I92)</f>
        <v>1.335</v>
      </c>
      <c r="J93" s="27">
        <f>SUM(J90:J92)</f>
        <v>0</v>
      </c>
    </row>
    <row r="94" spans="2:10">
      <c r="B94" s="51" t="s">
        <v>1215</v>
      </c>
      <c r="C94" s="51"/>
      <c r="D94" s="78"/>
      <c r="E94" s="62"/>
      <c r="F94" s="53"/>
      <c r="G94" s="63"/>
      <c r="H94" s="53"/>
      <c r="I94" s="64"/>
      <c r="J94" s="63"/>
    </row>
    <row r="95" spans="2:10">
      <c r="B95" s="60" t="s">
        <v>1201</v>
      </c>
      <c r="C95" s="42" t="s">
        <v>981</v>
      </c>
      <c r="D95" s="47">
        <v>800</v>
      </c>
      <c r="E95" s="37">
        <f>1/D95</f>
        <v>1.25E-3</v>
      </c>
      <c r="F95" s="22" t="e">
        <f>#REF!</f>
        <v>#REF!</v>
      </c>
      <c r="G95" s="23" t="e">
        <f t="shared" si="3"/>
        <v>#REF!</v>
      </c>
      <c r="H95" s="61">
        <v>95</v>
      </c>
      <c r="I95" s="44">
        <f t="shared" si="4"/>
        <v>0.11874999999999999</v>
      </c>
      <c r="J95" s="45" t="e">
        <f t="shared" si="5"/>
        <v>#REF!</v>
      </c>
    </row>
    <row r="96" spans="2:10">
      <c r="B96" s="9" t="s">
        <v>1206</v>
      </c>
      <c r="C96" s="56" t="s">
        <v>981</v>
      </c>
      <c r="D96" s="33">
        <v>1800</v>
      </c>
      <c r="E96" s="34">
        <f>1/D96</f>
        <v>5.5555555555555556E-4</v>
      </c>
      <c r="F96" s="22" t="e">
        <f>F95</f>
        <v>#REF!</v>
      </c>
      <c r="G96" s="23" t="e">
        <f t="shared" si="3"/>
        <v>#REF!</v>
      </c>
      <c r="H96" s="91">
        <v>1565</v>
      </c>
      <c r="I96" s="35">
        <f t="shared" si="4"/>
        <v>0.86944444444444446</v>
      </c>
      <c r="J96" s="36" t="e">
        <f t="shared" si="5"/>
        <v>#REF!</v>
      </c>
    </row>
    <row r="97" spans="2:10">
      <c r="B97" s="8" t="s">
        <v>1207</v>
      </c>
      <c r="C97" s="6" t="s">
        <v>981</v>
      </c>
      <c r="D97" s="20">
        <v>300</v>
      </c>
      <c r="E97" s="113">
        <f>(1/D97)*16*(1/188.76)</f>
        <v>2.8254573709119167E-4</v>
      </c>
      <c r="F97" s="46" t="e">
        <f>#REF!</f>
        <v>#REF!</v>
      </c>
      <c r="G97" s="19" t="e">
        <f t="shared" si="3"/>
        <v>#REF!</v>
      </c>
      <c r="H97" s="10">
        <v>9</v>
      </c>
      <c r="I97" s="18">
        <f t="shared" si="4"/>
        <v>0.03</v>
      </c>
      <c r="J97" s="19" t="e">
        <f t="shared" si="5"/>
        <v>#REF!</v>
      </c>
    </row>
    <row r="98" spans="2:10">
      <c r="B98" s="15" t="s">
        <v>492</v>
      </c>
      <c r="C98" s="12"/>
      <c r="E98" s="39"/>
      <c r="G98" s="24"/>
      <c r="H98" s="13">
        <f>SUM(H95:H97)</f>
        <v>1669</v>
      </c>
      <c r="I98" s="13">
        <f>SUM(I95:I97)</f>
        <v>1.0181944444444444</v>
      </c>
      <c r="J98" s="93" t="e">
        <f>SUM(J95:J97)</f>
        <v>#REF!</v>
      </c>
    </row>
    <row r="99" spans="2:10">
      <c r="B99" s="51" t="s">
        <v>1216</v>
      </c>
      <c r="C99" s="51"/>
      <c r="D99" s="78"/>
      <c r="E99" s="62"/>
      <c r="F99" s="53"/>
      <c r="G99" s="63"/>
      <c r="H99" s="53"/>
      <c r="I99" s="64"/>
      <c r="J99" s="63"/>
    </row>
    <row r="100" spans="2:10">
      <c r="B100" s="94" t="s">
        <v>1201</v>
      </c>
      <c r="C100" s="95" t="s">
        <v>981</v>
      </c>
      <c r="D100" s="96">
        <v>800</v>
      </c>
      <c r="E100" s="75">
        <f>1/D100</f>
        <v>1.25E-3</v>
      </c>
      <c r="F100" s="22" t="e">
        <f>#REF!</f>
        <v>#REF!</v>
      </c>
      <c r="G100" s="23" t="e">
        <f t="shared" si="3"/>
        <v>#REF!</v>
      </c>
      <c r="H100" s="97">
        <v>1272</v>
      </c>
      <c r="I100" s="76">
        <f t="shared" si="4"/>
        <v>1.59</v>
      </c>
      <c r="J100" s="77" t="e">
        <f t="shared" si="5"/>
        <v>#REF!</v>
      </c>
    </row>
    <row r="101" spans="2:10">
      <c r="B101" s="8" t="s">
        <v>1206</v>
      </c>
      <c r="C101" s="6" t="s">
        <v>981</v>
      </c>
      <c r="D101" s="20">
        <v>1800</v>
      </c>
      <c r="E101" s="30">
        <f>1/D101</f>
        <v>5.5555555555555556E-4</v>
      </c>
      <c r="F101" s="46" t="e">
        <f>F100</f>
        <v>#REF!</v>
      </c>
      <c r="G101" s="19" t="e">
        <f t="shared" si="3"/>
        <v>#REF!</v>
      </c>
      <c r="H101" s="10">
        <v>516</v>
      </c>
      <c r="I101" s="18">
        <f t="shared" si="4"/>
        <v>0.28666666666666668</v>
      </c>
      <c r="J101" s="19" t="e">
        <f t="shared" si="5"/>
        <v>#REF!</v>
      </c>
    </row>
    <row r="102" spans="2:10">
      <c r="B102" s="8" t="s">
        <v>1207</v>
      </c>
      <c r="C102" s="6" t="s">
        <v>981</v>
      </c>
      <c r="D102" s="20">
        <v>300</v>
      </c>
      <c r="E102" s="113">
        <f>(1/D102)*16*(1/188.76)</f>
        <v>2.8254573709119167E-4</v>
      </c>
      <c r="F102" s="46" t="e">
        <f>#REF!</f>
        <v>#REF!</v>
      </c>
      <c r="G102" s="19" t="e">
        <f t="shared" si="3"/>
        <v>#REF!</v>
      </c>
      <c r="H102" s="10">
        <v>223</v>
      </c>
      <c r="I102" s="18">
        <f t="shared" si="4"/>
        <v>0.74333333333333329</v>
      </c>
      <c r="J102" s="19" t="e">
        <f t="shared" si="5"/>
        <v>#REF!</v>
      </c>
    </row>
    <row r="103" spans="2:10">
      <c r="B103" s="15" t="s">
        <v>492</v>
      </c>
      <c r="C103" s="12"/>
      <c r="D103" s="38"/>
      <c r="E103" s="39"/>
      <c r="F103" s="84"/>
      <c r="G103" s="40"/>
      <c r="H103" s="13">
        <f>SUM(H100:H102)</f>
        <v>2011</v>
      </c>
      <c r="I103" s="13">
        <f>SUM(I100:I102)</f>
        <v>2.62</v>
      </c>
      <c r="J103" s="93" t="e">
        <f>SUM(J100:J102)</f>
        <v>#REF!</v>
      </c>
    </row>
    <row r="104" spans="2:10">
      <c r="B104" s="51" t="s">
        <v>1217</v>
      </c>
      <c r="C104" s="51"/>
      <c r="D104" s="78"/>
      <c r="E104" s="62"/>
      <c r="F104" s="53"/>
      <c r="G104" s="63"/>
      <c r="H104" s="53"/>
      <c r="I104" s="64"/>
      <c r="J104" s="63"/>
    </row>
    <row r="105" spans="2:10">
      <c r="B105" s="8" t="s">
        <v>1201</v>
      </c>
      <c r="C105" s="6" t="s">
        <v>981</v>
      </c>
      <c r="D105" s="20">
        <v>800</v>
      </c>
      <c r="E105" s="30">
        <f>1/D105</f>
        <v>1.25E-3</v>
      </c>
      <c r="F105" s="46" t="e">
        <f>#REF!</f>
        <v>#REF!</v>
      </c>
      <c r="G105" s="19" t="e">
        <f t="shared" si="3"/>
        <v>#REF!</v>
      </c>
      <c r="H105" s="10">
        <v>1281</v>
      </c>
      <c r="I105" s="18">
        <f t="shared" si="4"/>
        <v>1.6012500000000001</v>
      </c>
      <c r="J105" s="19" t="e">
        <f t="shared" si="5"/>
        <v>#REF!</v>
      </c>
    </row>
    <row r="106" spans="2:10">
      <c r="B106" s="8" t="s">
        <v>1206</v>
      </c>
      <c r="C106" s="6" t="s">
        <v>981</v>
      </c>
      <c r="D106" s="20">
        <v>1800</v>
      </c>
      <c r="E106" s="30">
        <f>1/D106</f>
        <v>5.5555555555555556E-4</v>
      </c>
      <c r="F106" s="46" t="e">
        <f>F105</f>
        <v>#REF!</v>
      </c>
      <c r="G106" s="19" t="e">
        <f t="shared" si="3"/>
        <v>#REF!</v>
      </c>
      <c r="H106" s="10">
        <v>1852</v>
      </c>
      <c r="I106" s="18">
        <f t="shared" si="4"/>
        <v>1.028888888888889</v>
      </c>
      <c r="J106" s="19" t="e">
        <f t="shared" si="5"/>
        <v>#REF!</v>
      </c>
    </row>
    <row r="107" spans="2:10">
      <c r="B107" s="8" t="s">
        <v>1207</v>
      </c>
      <c r="C107" s="6" t="s">
        <v>981</v>
      </c>
      <c r="D107" s="20">
        <v>300</v>
      </c>
      <c r="E107" s="113">
        <f>(1/D107)*16*(1/188.76)</f>
        <v>2.8254573709119167E-4</v>
      </c>
      <c r="F107" s="46" t="e">
        <f>#REF!</f>
        <v>#REF!</v>
      </c>
      <c r="G107" s="19" t="e">
        <f t="shared" si="3"/>
        <v>#REF!</v>
      </c>
      <c r="H107" s="10">
        <v>293</v>
      </c>
      <c r="I107" s="18">
        <f t="shared" si="4"/>
        <v>0.97666666666666668</v>
      </c>
      <c r="J107" s="19" t="e">
        <f t="shared" si="5"/>
        <v>#REF!</v>
      </c>
    </row>
    <row r="108" spans="2:10">
      <c r="B108" s="15" t="s">
        <v>492</v>
      </c>
      <c r="C108" s="12"/>
      <c r="D108" s="29"/>
      <c r="E108" s="39"/>
      <c r="G108" s="24"/>
      <c r="H108" s="13">
        <f>SUM(H105:H107)</f>
        <v>3426</v>
      </c>
      <c r="I108" s="13">
        <f>SUM(I105:I107)</f>
        <v>3.6068055555555558</v>
      </c>
      <c r="J108" s="93" t="e">
        <f>SUM(J105:J107)</f>
        <v>#REF!</v>
      </c>
    </row>
    <row r="109" spans="2:10">
      <c r="B109" s="51" t="s">
        <v>1218</v>
      </c>
      <c r="C109" s="51"/>
      <c r="D109" s="98"/>
      <c r="E109" s="62"/>
      <c r="F109" s="53"/>
      <c r="G109" s="63"/>
      <c r="H109" s="53"/>
      <c r="I109" s="64"/>
      <c r="J109" s="63"/>
    </row>
    <row r="110" spans="2:10">
      <c r="B110" s="8" t="s">
        <v>1201</v>
      </c>
      <c r="C110" s="6" t="s">
        <v>981</v>
      </c>
      <c r="D110" s="20">
        <v>800</v>
      </c>
      <c r="E110" s="30">
        <f>1/D110</f>
        <v>1.25E-3</v>
      </c>
      <c r="F110" s="46" t="e">
        <f>#REF!</f>
        <v>#REF!</v>
      </c>
      <c r="G110" s="19" t="e">
        <f t="shared" si="3"/>
        <v>#REF!</v>
      </c>
      <c r="H110" s="10">
        <v>580</v>
      </c>
      <c r="I110" s="18">
        <f t="shared" si="4"/>
        <v>0.72499999999999998</v>
      </c>
      <c r="J110" s="19" t="e">
        <f t="shared" si="5"/>
        <v>#REF!</v>
      </c>
    </row>
    <row r="111" spans="2:10">
      <c r="B111" s="8" t="s">
        <v>1206</v>
      </c>
      <c r="C111" s="6" t="s">
        <v>981</v>
      </c>
      <c r="D111" s="20">
        <v>1800</v>
      </c>
      <c r="E111" s="30">
        <f>1/D111</f>
        <v>5.5555555555555556E-4</v>
      </c>
      <c r="F111" s="46" t="e">
        <f>F110</f>
        <v>#REF!</v>
      </c>
      <c r="G111" s="19" t="e">
        <f t="shared" si="3"/>
        <v>#REF!</v>
      </c>
      <c r="H111" s="10">
        <v>375</v>
      </c>
      <c r="I111" s="18">
        <f t="shared" si="4"/>
        <v>0.20833333333333334</v>
      </c>
      <c r="J111" s="19" t="e">
        <f t="shared" si="5"/>
        <v>#REF!</v>
      </c>
    </row>
    <row r="112" spans="2:10">
      <c r="B112" s="8" t="s">
        <v>1207</v>
      </c>
      <c r="C112" s="6" t="s">
        <v>981</v>
      </c>
      <c r="D112" s="20">
        <v>380</v>
      </c>
      <c r="E112" s="113">
        <f>(1/D112)*16*(1/188.76)</f>
        <v>2.2306242401936183E-4</v>
      </c>
      <c r="F112" s="46" t="e">
        <f>#REF!</f>
        <v>#REF!</v>
      </c>
      <c r="G112" s="19" t="e">
        <f t="shared" si="3"/>
        <v>#REF!</v>
      </c>
      <c r="H112" s="10">
        <v>100</v>
      </c>
      <c r="I112" s="18">
        <f t="shared" si="4"/>
        <v>0.26315789473684209</v>
      </c>
      <c r="J112" s="19" t="e">
        <f t="shared" si="5"/>
        <v>#REF!</v>
      </c>
    </row>
    <row r="113" spans="2:10">
      <c r="B113" s="26" t="s">
        <v>492</v>
      </c>
      <c r="C113" s="79"/>
      <c r="D113" s="38"/>
      <c r="E113" s="39"/>
      <c r="F113" s="84"/>
      <c r="G113" s="40"/>
      <c r="H113" s="90">
        <f>SUM(H110:H112)</f>
        <v>1055</v>
      </c>
      <c r="I113" s="90">
        <f>SUM(I110:I112)</f>
        <v>1.1964912280701754</v>
      </c>
      <c r="J113" s="27" t="e">
        <f>SUM(J110:J112)</f>
        <v>#REF!</v>
      </c>
    </row>
    <row r="114" spans="2:10">
      <c r="B114" s="51" t="s">
        <v>803</v>
      </c>
      <c r="C114" s="51"/>
      <c r="D114" s="78"/>
      <c r="E114" s="62"/>
      <c r="F114" s="53"/>
      <c r="G114" s="63"/>
      <c r="H114" s="53"/>
      <c r="I114" s="64"/>
      <c r="J114" s="63"/>
    </row>
    <row r="115" spans="2:10">
      <c r="B115" s="8" t="s">
        <v>1201</v>
      </c>
      <c r="C115" s="6" t="s">
        <v>981</v>
      </c>
      <c r="D115" s="20">
        <v>1100</v>
      </c>
      <c r="E115" s="30">
        <f>1/D115</f>
        <v>9.0909090909090909E-4</v>
      </c>
      <c r="F115" s="46" t="e">
        <f>#REF!</f>
        <v>#REF!</v>
      </c>
      <c r="G115" s="19" t="e">
        <f t="shared" si="3"/>
        <v>#REF!</v>
      </c>
      <c r="H115" s="10">
        <v>2713</v>
      </c>
      <c r="I115" s="18">
        <f t="shared" si="4"/>
        <v>2.4663636363636363</v>
      </c>
      <c r="J115" s="19" t="e">
        <f t="shared" si="5"/>
        <v>#REF!</v>
      </c>
    </row>
    <row r="116" spans="2:10">
      <c r="B116" s="8" t="s">
        <v>1206</v>
      </c>
      <c r="C116" s="6" t="s">
        <v>981</v>
      </c>
      <c r="D116" s="20">
        <v>2500</v>
      </c>
      <c r="E116" s="30">
        <f>1/D116</f>
        <v>4.0000000000000002E-4</v>
      </c>
      <c r="F116" s="46" t="e">
        <f>F115</f>
        <v>#REF!</v>
      </c>
      <c r="G116" s="19" t="e">
        <f t="shared" si="3"/>
        <v>#REF!</v>
      </c>
      <c r="H116" s="10">
        <v>4700</v>
      </c>
      <c r="I116" s="18">
        <f t="shared" si="4"/>
        <v>1.88</v>
      </c>
      <c r="J116" s="19" t="e">
        <f t="shared" si="5"/>
        <v>#REF!</v>
      </c>
    </row>
    <row r="117" spans="2:10">
      <c r="B117" s="8" t="s">
        <v>1207</v>
      </c>
      <c r="C117" s="6" t="s">
        <v>981</v>
      </c>
      <c r="D117" s="20">
        <v>380</v>
      </c>
      <c r="E117" s="113">
        <f>(1/D117)*30*(1/188.76)</f>
        <v>4.1824204503630345E-4</v>
      </c>
      <c r="F117" s="46" t="e">
        <f>#REF!</f>
        <v>#REF!</v>
      </c>
      <c r="G117" s="19" t="e">
        <f t="shared" si="3"/>
        <v>#REF!</v>
      </c>
      <c r="H117" s="10">
        <v>240</v>
      </c>
      <c r="I117" s="18">
        <f t="shared" si="4"/>
        <v>0.63157894736842102</v>
      </c>
      <c r="J117" s="19" t="e">
        <f t="shared" si="5"/>
        <v>#REF!</v>
      </c>
    </row>
    <row r="118" spans="2:10">
      <c r="B118" s="26" t="s">
        <v>492</v>
      </c>
      <c r="C118" s="79"/>
      <c r="D118" s="38"/>
      <c r="E118" s="39"/>
      <c r="F118" s="84"/>
      <c r="G118" s="40"/>
      <c r="H118" s="90">
        <f>SUM(H115:H117)</f>
        <v>7653</v>
      </c>
      <c r="I118" s="90">
        <f>SUM(I115:I117)</f>
        <v>4.977942583732057</v>
      </c>
      <c r="J118" s="27" t="e">
        <f>SUM(J115:J117)</f>
        <v>#REF!</v>
      </c>
    </row>
    <row r="119" spans="2:10" ht="49.5" customHeight="1">
      <c r="B119" s="11"/>
      <c r="C119" s="12"/>
      <c r="G119" s="99"/>
      <c r="H119" s="13"/>
      <c r="I119" s="125">
        <f>SUM(I118,I113,I108,I103,I98,I93,I88,I83,I78,I73,I68,I63,I58,I53,I48,I43,I38,I33,I28,I23,I18)</f>
        <v>97.006136240656787</v>
      </c>
      <c r="J119" s="126" t="e">
        <f>SUM(J118,J113,J108,J103,J98,J93,J88,J83,J78,J73,J68,J63,J58,J53,J48,J43,J38,J33,J28,J23,J18)</f>
        <v>#REF!</v>
      </c>
    </row>
    <row r="120" spans="2:10">
      <c r="B120" s="11"/>
      <c r="C120" s="12"/>
      <c r="G120" s="99"/>
      <c r="H120" s="13"/>
    </row>
    <row r="121" spans="2:10">
      <c r="B121" s="11"/>
      <c r="C121" s="12"/>
      <c r="H121" s="13"/>
    </row>
    <row r="122" spans="2:10">
      <c r="B122" s="11"/>
      <c r="C122" s="12"/>
      <c r="H122" s="13"/>
    </row>
    <row r="123" spans="2:10" ht="15">
      <c r="B123" s="11"/>
      <c r="C123" s="1"/>
      <c r="H123" s="2"/>
    </row>
    <row r="124" spans="2:10" ht="15">
      <c r="B124" s="1"/>
      <c r="C124" s="1"/>
      <c r="H124" s="2"/>
    </row>
  </sheetData>
  <mergeCells count="27">
    <mergeCell ref="P5:P6"/>
    <mergeCell ref="B10:B12"/>
    <mergeCell ref="C10:C12"/>
    <mergeCell ref="H10:H11"/>
    <mergeCell ref="D10:D11"/>
    <mergeCell ref="F10:F12"/>
    <mergeCell ref="E10:E11"/>
    <mergeCell ref="L2:L4"/>
    <mergeCell ref="L5:L6"/>
    <mergeCell ref="N5:N6"/>
    <mergeCell ref="J10:J11"/>
    <mergeCell ref="F4:G4"/>
    <mergeCell ref="F5:G5"/>
    <mergeCell ref="F6:G6"/>
    <mergeCell ref="F7:G7"/>
    <mergeCell ref="F3:G3"/>
    <mergeCell ref="G10:G12"/>
    <mergeCell ref="B2:C2"/>
    <mergeCell ref="B3:C3"/>
    <mergeCell ref="I10:I11"/>
    <mergeCell ref="D2:E2"/>
    <mergeCell ref="F2:G2"/>
    <mergeCell ref="D3:E3"/>
    <mergeCell ref="D4:E4"/>
    <mergeCell ref="D5:E5"/>
    <mergeCell ref="D6:E6"/>
    <mergeCell ref="D7:E7"/>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1">
    <tabColor rgb="FFFFFF00"/>
  </sheetPr>
  <dimension ref="A1:BF132"/>
  <sheetViews>
    <sheetView showGridLines="0" topLeftCell="A22" zoomScale="89" zoomScaleNormal="89" workbookViewId="0">
      <selection activeCell="C27" sqref="C27"/>
    </sheetView>
  </sheetViews>
  <sheetFormatPr defaultRowHeight="23.25" customHeight="1"/>
  <cols>
    <col min="1" max="1" width="5.25" style="1187" customWidth="1"/>
    <col min="2" max="2" width="5.75" style="1187" bestFit="1" customWidth="1"/>
    <col min="3" max="3" width="32.75" style="1187" customWidth="1"/>
    <col min="4" max="4" width="27.125" style="1187" customWidth="1"/>
    <col min="5" max="5" width="21.75" style="1187" customWidth="1"/>
    <col min="6" max="6" width="16.125" style="1187" bestFit="1" customWidth="1"/>
    <col min="7" max="7" width="18.75" style="1187" customWidth="1"/>
    <col min="8" max="8" width="14.5" style="1187" bestFit="1" customWidth="1"/>
    <col min="9" max="9" width="21.125" style="1187" customWidth="1"/>
    <col min="10" max="10" width="18.125" style="1187" customWidth="1"/>
    <col min="11" max="11" width="17.375" style="1187" customWidth="1"/>
    <col min="12" max="12" width="18.75" style="1187" customWidth="1"/>
    <col min="13" max="13" width="19" style="1187" customWidth="1"/>
    <col min="14" max="14" width="18.25" style="1187" customWidth="1"/>
    <col min="15" max="15" width="14.625" style="1187" bestFit="1" customWidth="1"/>
    <col min="16" max="20" width="9.75" style="1187" customWidth="1"/>
    <col min="21" max="21" width="9.875" style="1187" customWidth="1"/>
    <col min="22" max="24" width="11" style="1188" customWidth="1"/>
    <col min="25" max="25" width="12.875" style="1188" customWidth="1"/>
    <col min="26" max="26" width="15.875" style="1188" customWidth="1"/>
    <col min="27" max="27" width="11" style="1188" customWidth="1"/>
    <col min="28" max="33" width="15.875" style="1188" customWidth="1"/>
    <col min="34" max="53" width="8.375" style="1188" customWidth="1"/>
    <col min="54" max="16384" width="9" style="1188"/>
  </cols>
  <sheetData>
    <row r="1" spans="1:33" s="1184" customFormat="1" ht="72" customHeight="1">
      <c r="A1" s="1182"/>
      <c r="B1" s="1182"/>
      <c r="C1" s="1183" t="s">
        <v>1</v>
      </c>
      <c r="D1" s="1183"/>
      <c r="E1" s="1183"/>
      <c r="F1" s="1183"/>
      <c r="G1" s="1183"/>
      <c r="H1" s="1183"/>
      <c r="I1" s="1183"/>
      <c r="J1" s="1183"/>
      <c r="K1" s="1183"/>
      <c r="L1" s="1183"/>
      <c r="M1" s="1183"/>
      <c r="N1" s="1183"/>
      <c r="O1" s="1183"/>
    </row>
    <row r="2" spans="1:33" s="1186" customFormat="1" ht="36" customHeight="1">
      <c r="A2" s="1185" t="s">
        <v>2</v>
      </c>
      <c r="B2" s="1185"/>
      <c r="C2" s="1185"/>
      <c r="D2" s="1185"/>
      <c r="E2" s="1185"/>
      <c r="F2" s="1185"/>
      <c r="G2" s="1185"/>
    </row>
    <row r="3" spans="1:33" s="1187" customFormat="1" ht="23.25" customHeight="1">
      <c r="V3" s="1188"/>
      <c r="W3" s="1188"/>
      <c r="X3" s="1188"/>
      <c r="Y3" s="1188"/>
      <c r="Z3" s="1188"/>
      <c r="AA3" s="1188"/>
      <c r="AB3" s="1188"/>
      <c r="AC3" s="1188"/>
      <c r="AD3" s="1188"/>
      <c r="AE3" s="1188"/>
      <c r="AF3" s="1188"/>
      <c r="AG3" s="1188"/>
    </row>
    <row r="4" spans="1:33" ht="78.75">
      <c r="A4" s="1189" t="s">
        <v>3</v>
      </c>
      <c r="B4" s="1190" t="s">
        <v>4</v>
      </c>
      <c r="C4" s="1190" t="s">
        <v>5</v>
      </c>
      <c r="D4" s="1191" t="s">
        <v>6</v>
      </c>
      <c r="E4" s="1191" t="s">
        <v>7</v>
      </c>
      <c r="F4" s="1192" t="s">
        <v>8</v>
      </c>
      <c r="G4" s="1193" t="s">
        <v>9</v>
      </c>
      <c r="H4" s="686" t="s">
        <v>10</v>
      </c>
      <c r="I4" s="1191" t="s">
        <v>11</v>
      </c>
      <c r="J4" s="1194" t="s">
        <v>12</v>
      </c>
      <c r="K4" s="1191" t="s">
        <v>13</v>
      </c>
      <c r="L4" s="1194" t="s">
        <v>14</v>
      </c>
      <c r="M4" s="1195" t="s">
        <v>15</v>
      </c>
      <c r="N4" s="1195" t="s">
        <v>16</v>
      </c>
      <c r="O4" s="1195" t="s">
        <v>17</v>
      </c>
      <c r="P4" s="686" t="s">
        <v>18</v>
      </c>
      <c r="Q4" s="686" t="s">
        <v>19</v>
      </c>
      <c r="R4" s="686" t="s">
        <v>20</v>
      </c>
      <c r="S4" s="686" t="s">
        <v>21</v>
      </c>
      <c r="T4" s="686" t="s">
        <v>22</v>
      </c>
      <c r="U4" s="686" t="s">
        <v>23</v>
      </c>
      <c r="V4" s="686" t="s">
        <v>24</v>
      </c>
      <c r="W4" s="686" t="s">
        <v>25</v>
      </c>
      <c r="X4" s="686" t="s">
        <v>26</v>
      </c>
      <c r="Y4" s="1193" t="s">
        <v>27</v>
      </c>
      <c r="Z4" s="1193" t="s">
        <v>28</v>
      </c>
      <c r="AA4" s="686" t="s">
        <v>29</v>
      </c>
    </row>
    <row r="5" spans="1:33" s="1201" customFormat="1" ht="23.25" customHeight="1">
      <c r="A5" s="1190">
        <v>1</v>
      </c>
      <c r="B5" s="1190" t="s">
        <v>30</v>
      </c>
      <c r="C5" s="1196" t="s">
        <v>31</v>
      </c>
      <c r="D5" s="1197" t="s">
        <v>32</v>
      </c>
      <c r="E5" s="1197" t="s">
        <v>33</v>
      </c>
      <c r="F5" s="1156">
        <v>10723.22</v>
      </c>
      <c r="G5" s="690">
        <f>$E$128</f>
        <v>7.3170000000000002</v>
      </c>
      <c r="H5" s="1157">
        <v>0.02</v>
      </c>
      <c r="I5" s="1158" t="s">
        <v>34</v>
      </c>
      <c r="J5" s="1159" t="s">
        <v>35</v>
      </c>
      <c r="K5" s="1158" t="s">
        <v>36</v>
      </c>
      <c r="L5" s="1159" t="s">
        <v>37</v>
      </c>
      <c r="M5" s="1160" t="s">
        <v>38</v>
      </c>
      <c r="N5" s="1160" t="s">
        <v>39</v>
      </c>
      <c r="O5" s="1159" t="s">
        <v>40</v>
      </c>
      <c r="P5" s="1198">
        <f>G59</f>
        <v>814</v>
      </c>
      <c r="Q5" s="1198">
        <f>$G$63</f>
        <v>0</v>
      </c>
      <c r="R5" s="1198">
        <f>$G$67</f>
        <v>0</v>
      </c>
      <c r="S5" s="1198">
        <f>$G$71</f>
        <v>20.32</v>
      </c>
      <c r="T5" s="1198">
        <f>$G$75</f>
        <v>222.048</v>
      </c>
      <c r="U5" s="1198">
        <f>$G$79</f>
        <v>0</v>
      </c>
      <c r="V5" s="1198">
        <f>$G$83</f>
        <v>16.287000000000003</v>
      </c>
      <c r="W5" s="1198">
        <f>$G$87</f>
        <v>0</v>
      </c>
      <c r="X5" s="1198">
        <f>$G$91</f>
        <v>0</v>
      </c>
      <c r="Y5" s="1199">
        <f>F5*$E$123</f>
        <v>643.39319999999998</v>
      </c>
      <c r="Z5" s="1200">
        <f>IF(($E$121*$E$125*G5)-Y5&lt;0,0,($E$121*$E$125*G5)-Y5)</f>
        <v>0</v>
      </c>
      <c r="AA5" s="1198">
        <f>$G$95</f>
        <v>0</v>
      </c>
    </row>
    <row r="6" spans="1:33" s="1201" customFormat="1" ht="23.25" customHeight="1">
      <c r="A6" s="1190">
        <v>2</v>
      </c>
      <c r="B6" s="1190" t="s">
        <v>30</v>
      </c>
      <c r="C6" s="1196" t="s">
        <v>41</v>
      </c>
      <c r="D6" s="1197" t="s">
        <v>42</v>
      </c>
      <c r="E6" s="1197" t="s">
        <v>33</v>
      </c>
      <c r="F6" s="1156">
        <v>3016.69</v>
      </c>
      <c r="G6" s="690">
        <f>$E$128</f>
        <v>7.3170000000000002</v>
      </c>
      <c r="H6" s="1157">
        <v>0.02</v>
      </c>
      <c r="I6" s="1158" t="s">
        <v>43</v>
      </c>
      <c r="J6" s="1159" t="s">
        <v>44</v>
      </c>
      <c r="K6" s="1158" t="s">
        <v>45</v>
      </c>
      <c r="L6" s="1159" t="s">
        <v>46</v>
      </c>
      <c r="M6" s="1160" t="s">
        <v>38</v>
      </c>
      <c r="N6" s="1160" t="s">
        <v>39</v>
      </c>
      <c r="O6" s="1159" t="s">
        <v>47</v>
      </c>
      <c r="P6" s="1198">
        <f>$G$61</f>
        <v>0</v>
      </c>
      <c r="Q6" s="1198">
        <f>$G$65</f>
        <v>427.5</v>
      </c>
      <c r="R6" s="1198">
        <f>$G$69</f>
        <v>348.48</v>
      </c>
      <c r="S6" s="1198">
        <f>$G$73</f>
        <v>20.32</v>
      </c>
      <c r="T6" s="1198">
        <f>$G$77</f>
        <v>52.056100000000001</v>
      </c>
      <c r="U6" s="1198">
        <f>$G$81</f>
        <v>0</v>
      </c>
      <c r="V6" s="1198">
        <f>$G$85</f>
        <v>25.139100000000003</v>
      </c>
      <c r="W6" s="1198">
        <f>$G$89</f>
        <v>0</v>
      </c>
      <c r="X6" s="1198">
        <f>$G$93</f>
        <v>0</v>
      </c>
      <c r="Y6" s="1199">
        <f>(F6)*$E$123</f>
        <v>181.00139999999999</v>
      </c>
      <c r="Z6" s="1200">
        <f>IF(($E$121*$E$125*G6)-Y6&lt;0,0,($E$121*$E$125*G6)-Y6)</f>
        <v>140.94659999999999</v>
      </c>
      <c r="AA6" s="1198">
        <f>$G$97</f>
        <v>0</v>
      </c>
    </row>
    <row r="7" spans="1:33" s="1201" customFormat="1" ht="23.25" customHeight="1">
      <c r="A7" s="1190">
        <v>3</v>
      </c>
      <c r="B7" s="1190" t="s">
        <v>30</v>
      </c>
      <c r="C7" s="1196" t="s">
        <v>48</v>
      </c>
      <c r="D7" s="1197" t="s">
        <v>49</v>
      </c>
      <c r="E7" s="1197" t="s">
        <v>33</v>
      </c>
      <c r="F7" s="1156">
        <v>2513.91</v>
      </c>
      <c r="G7" s="690">
        <f>$E$128</f>
        <v>7.3170000000000002</v>
      </c>
      <c r="H7" s="1157">
        <v>0.02</v>
      </c>
      <c r="I7" s="1158" t="s">
        <v>43</v>
      </c>
      <c r="J7" s="1159" t="s">
        <v>44</v>
      </c>
      <c r="K7" s="1158" t="s">
        <v>45</v>
      </c>
      <c r="L7" s="1159" t="s">
        <v>46</v>
      </c>
      <c r="M7" s="1160" t="s">
        <v>38</v>
      </c>
      <c r="N7" s="1160" t="s">
        <v>39</v>
      </c>
      <c r="O7" s="1159" t="s">
        <v>50</v>
      </c>
      <c r="P7" s="1198">
        <f>$G$61</f>
        <v>0</v>
      </c>
      <c r="Q7" s="1198">
        <f>$G$65</f>
        <v>427.5</v>
      </c>
      <c r="R7" s="1198">
        <f>$G$69</f>
        <v>348.48</v>
      </c>
      <c r="S7" s="1198">
        <f>$G$73</f>
        <v>20.32</v>
      </c>
      <c r="T7" s="1198">
        <f>$G$77</f>
        <v>52.056100000000001</v>
      </c>
      <c r="U7" s="1198">
        <f>$G$81</f>
        <v>0</v>
      </c>
      <c r="V7" s="1198">
        <f>$G$85</f>
        <v>25.139100000000003</v>
      </c>
      <c r="W7" s="1198">
        <f>$G$89</f>
        <v>0</v>
      </c>
      <c r="X7" s="1198">
        <f>$G$93</f>
        <v>0</v>
      </c>
      <c r="Y7" s="1199">
        <f>(F7)*$E$123</f>
        <v>150.83459999999999</v>
      </c>
      <c r="Z7" s="1200">
        <f>IF(($E$121*$E$125*G7)-Y7&lt;0,0,($E$121*$E$125*G7)-Y7)</f>
        <v>171.11339999999998</v>
      </c>
      <c r="AA7" s="1198">
        <f>$G$97</f>
        <v>0</v>
      </c>
    </row>
    <row r="8" spans="1:33" s="1201" customFormat="1" ht="23.25" customHeight="1">
      <c r="A8" s="1190">
        <v>4</v>
      </c>
      <c r="B8" s="1190" t="s">
        <v>30</v>
      </c>
      <c r="C8" s="1196" t="s">
        <v>51</v>
      </c>
      <c r="D8" s="1197" t="s">
        <v>1220</v>
      </c>
      <c r="E8" s="1197" t="s">
        <v>33</v>
      </c>
      <c r="F8" s="1156">
        <v>2513.91</v>
      </c>
      <c r="G8" s="690">
        <f>$E$128</f>
        <v>7.3170000000000002</v>
      </c>
      <c r="H8" s="1157">
        <v>0.02</v>
      </c>
      <c r="I8" s="1158" t="s">
        <v>43</v>
      </c>
      <c r="J8" s="1159" t="s">
        <v>44</v>
      </c>
      <c r="K8" s="1158" t="s">
        <v>45</v>
      </c>
      <c r="L8" s="1159" t="s">
        <v>52</v>
      </c>
      <c r="M8" s="1160" t="s">
        <v>53</v>
      </c>
      <c r="N8" s="1160" t="s">
        <v>54</v>
      </c>
      <c r="O8" s="1159" t="s">
        <v>55</v>
      </c>
      <c r="P8" s="1198">
        <f>$G$61</f>
        <v>0</v>
      </c>
      <c r="Q8" s="1198">
        <f>$G$65</f>
        <v>427.5</v>
      </c>
      <c r="R8" s="1198">
        <f>$G$69</f>
        <v>348.48</v>
      </c>
      <c r="S8" s="1198">
        <f>$G$73</f>
        <v>20.32</v>
      </c>
      <c r="T8" s="1198">
        <f>$G$77</f>
        <v>52.056100000000001</v>
      </c>
      <c r="U8" s="1198">
        <f>$G$81</f>
        <v>0</v>
      </c>
      <c r="V8" s="1198">
        <f>$G$85</f>
        <v>25.139100000000003</v>
      </c>
      <c r="W8" s="1198">
        <f>$G$89</f>
        <v>0</v>
      </c>
      <c r="X8" s="1198">
        <f>$G$93</f>
        <v>0</v>
      </c>
      <c r="Y8" s="1199">
        <f>(F8)*$E$123</f>
        <v>150.83459999999999</v>
      </c>
      <c r="Z8" s="1200">
        <f>IF(($E$121*$E$125*G8)-Y8&lt;0,0,($E$121*$E$125*G8)-Y8)</f>
        <v>171.11339999999998</v>
      </c>
      <c r="AA8" s="1198">
        <f>$G$97</f>
        <v>0</v>
      </c>
    </row>
    <row r="9" spans="1:33" s="1201" customFormat="1" ht="23.25" customHeight="1">
      <c r="A9" s="1190">
        <v>5</v>
      </c>
      <c r="B9" s="1190" t="s">
        <v>30</v>
      </c>
      <c r="C9" s="1196" t="s">
        <v>56</v>
      </c>
      <c r="D9" s="1197" t="s">
        <v>57</v>
      </c>
      <c r="E9" s="1197" t="s">
        <v>58</v>
      </c>
      <c r="F9" s="1156">
        <v>2066.0100000000002</v>
      </c>
      <c r="G9" s="690">
        <f>$E$128</f>
        <v>7.3170000000000002</v>
      </c>
      <c r="H9" s="1157">
        <v>0.02</v>
      </c>
      <c r="I9" s="1158" t="s">
        <v>43</v>
      </c>
      <c r="J9" s="1159" t="s">
        <v>44</v>
      </c>
      <c r="K9" s="1158" t="s">
        <v>45</v>
      </c>
      <c r="L9" s="1159" t="s">
        <v>46</v>
      </c>
      <c r="M9" s="1160" t="s">
        <v>38</v>
      </c>
      <c r="N9" s="1160" t="s">
        <v>39</v>
      </c>
      <c r="O9" s="1159" t="s">
        <v>59</v>
      </c>
      <c r="P9" s="1198">
        <f>$G$61</f>
        <v>0</v>
      </c>
      <c r="Q9" s="1198">
        <f>$G$65</f>
        <v>427.5</v>
      </c>
      <c r="R9" s="1198">
        <f>$G$69</f>
        <v>348.48</v>
      </c>
      <c r="S9" s="1198">
        <f>$G$73</f>
        <v>20.32</v>
      </c>
      <c r="T9" s="1198">
        <f>$G$77</f>
        <v>52.056100000000001</v>
      </c>
      <c r="U9" s="1198">
        <f>$G$81</f>
        <v>0</v>
      </c>
      <c r="V9" s="1198">
        <f>$G$85</f>
        <v>25.139100000000003</v>
      </c>
      <c r="W9" s="1198">
        <f>$G$89</f>
        <v>0</v>
      </c>
      <c r="X9" s="1198">
        <f>$G$93</f>
        <v>0</v>
      </c>
      <c r="Y9" s="1199">
        <f>(F9)*$E$123</f>
        <v>123.96060000000001</v>
      </c>
      <c r="Z9" s="1200">
        <f>IF(($E$121*$E$125*G9)-Y9&lt;0,0,($E$121*$E$125*G9)-Y9)</f>
        <v>197.98739999999998</v>
      </c>
      <c r="AA9" s="1198">
        <f>$G$97</f>
        <v>0</v>
      </c>
    </row>
    <row r="10" spans="1:33" s="1201" customFormat="1" ht="31.5">
      <c r="A10" s="1190">
        <v>6</v>
      </c>
      <c r="B10" s="1190" t="s">
        <v>30</v>
      </c>
      <c r="C10" s="1202" t="s">
        <v>60</v>
      </c>
      <c r="D10" s="1197" t="s">
        <v>61</v>
      </c>
      <c r="E10" s="1197" t="s">
        <v>33</v>
      </c>
      <c r="F10" s="1156">
        <v>2513.91</v>
      </c>
      <c r="G10" s="690">
        <f>$E$128</f>
        <v>7.3170000000000002</v>
      </c>
      <c r="H10" s="1157">
        <v>0.02</v>
      </c>
      <c r="I10" s="1158" t="s">
        <v>43</v>
      </c>
      <c r="J10" s="1159" t="s">
        <v>44</v>
      </c>
      <c r="K10" s="1158" t="s">
        <v>45</v>
      </c>
      <c r="L10" s="1159" t="s">
        <v>46</v>
      </c>
      <c r="M10" s="1160" t="s">
        <v>38</v>
      </c>
      <c r="N10" s="1160" t="s">
        <v>39</v>
      </c>
      <c r="O10" s="1159" t="s">
        <v>62</v>
      </c>
      <c r="P10" s="1198">
        <f>$G$61</f>
        <v>0</v>
      </c>
      <c r="Q10" s="1198">
        <f>$G$65</f>
        <v>427.5</v>
      </c>
      <c r="R10" s="1198">
        <f>$G$69</f>
        <v>348.48</v>
      </c>
      <c r="S10" s="1198">
        <f>$G$73</f>
        <v>20.32</v>
      </c>
      <c r="T10" s="1198">
        <f>$G$77</f>
        <v>52.056100000000001</v>
      </c>
      <c r="U10" s="1198">
        <f>$G$81</f>
        <v>0</v>
      </c>
      <c r="V10" s="1198">
        <f>$G$85</f>
        <v>25.139100000000003</v>
      </c>
      <c r="W10" s="1198">
        <f>$G$89</f>
        <v>0</v>
      </c>
      <c r="X10" s="1198">
        <f>$G$93</f>
        <v>0</v>
      </c>
      <c r="Y10" s="1199">
        <f>(F10)*$E$123</f>
        <v>150.83459999999999</v>
      </c>
      <c r="Z10" s="1200">
        <f>IF(($E$121*$E$125*G10)-Y10&lt;0,0,($E$121*$E$125*G10)-Y10)</f>
        <v>171.11339999999998</v>
      </c>
      <c r="AA10" s="1198">
        <f>$G$97</f>
        <v>0</v>
      </c>
    </row>
    <row r="11" spans="1:33" s="1201" customFormat="1" ht="23.25" customHeight="1">
      <c r="A11" s="1190">
        <v>7</v>
      </c>
      <c r="B11" s="1190" t="s">
        <v>30</v>
      </c>
      <c r="C11" s="1196" t="s">
        <v>63</v>
      </c>
      <c r="D11" s="1197" t="s">
        <v>64</v>
      </c>
      <c r="E11" s="1197" t="s">
        <v>33</v>
      </c>
      <c r="F11" s="1156">
        <v>2513.91</v>
      </c>
      <c r="G11" s="690">
        <f>$E$128</f>
        <v>7.3170000000000002</v>
      </c>
      <c r="H11" s="1157">
        <v>0.02</v>
      </c>
      <c r="I11" s="1158" t="s">
        <v>43</v>
      </c>
      <c r="J11" s="1159" t="s">
        <v>44</v>
      </c>
      <c r="K11" s="1158" t="s">
        <v>45</v>
      </c>
      <c r="L11" s="1159" t="s">
        <v>46</v>
      </c>
      <c r="M11" s="1160" t="s">
        <v>38</v>
      </c>
      <c r="N11" s="1160" t="s">
        <v>39</v>
      </c>
      <c r="O11" s="1159" t="s">
        <v>65</v>
      </c>
      <c r="P11" s="1198">
        <f>$G$61</f>
        <v>0</v>
      </c>
      <c r="Q11" s="1198">
        <f>$G$65</f>
        <v>427.5</v>
      </c>
      <c r="R11" s="1198">
        <f>$G$69</f>
        <v>348.48</v>
      </c>
      <c r="S11" s="1198">
        <f>$G$73</f>
        <v>20.32</v>
      </c>
      <c r="T11" s="1198">
        <f>$G$77</f>
        <v>52.056100000000001</v>
      </c>
      <c r="U11" s="1198">
        <f>$G$81</f>
        <v>0</v>
      </c>
      <c r="V11" s="1198">
        <f>$G$85</f>
        <v>25.139100000000003</v>
      </c>
      <c r="W11" s="1198">
        <f>$G$89</f>
        <v>0</v>
      </c>
      <c r="X11" s="1198">
        <f>$G$93</f>
        <v>0</v>
      </c>
      <c r="Y11" s="1199">
        <f>(F11)*$E$123</f>
        <v>150.83459999999999</v>
      </c>
      <c r="Z11" s="1200">
        <f>IF(($E$121*$E$125*G11)-Y11&lt;0,0,($E$121*$E$125*G11)-Y11)</f>
        <v>171.11339999999998</v>
      </c>
      <c r="AA11" s="1198">
        <f>$G$97</f>
        <v>0</v>
      </c>
    </row>
    <row r="12" spans="1:33" s="1201" customFormat="1" ht="23.25" customHeight="1">
      <c r="A12" s="1190">
        <v>8</v>
      </c>
      <c r="B12" s="1190" t="s">
        <v>30</v>
      </c>
      <c r="C12" s="1196" t="s">
        <v>67</v>
      </c>
      <c r="D12" s="1197" t="s">
        <v>68</v>
      </c>
      <c r="E12" s="1197" t="s">
        <v>33</v>
      </c>
      <c r="F12" s="1156">
        <v>2513.91</v>
      </c>
      <c r="G12" s="690">
        <f>$E$128</f>
        <v>7.3170000000000002</v>
      </c>
      <c r="H12" s="1157">
        <v>0.02</v>
      </c>
      <c r="I12" s="689" t="s">
        <v>43</v>
      </c>
      <c r="J12" s="1159" t="s">
        <v>44</v>
      </c>
      <c r="K12" s="1158" t="s">
        <v>45</v>
      </c>
      <c r="L12" s="1161" t="s">
        <v>46</v>
      </c>
      <c r="M12" s="690" t="s">
        <v>38</v>
      </c>
      <c r="N12" s="1161" t="s">
        <v>39</v>
      </c>
      <c r="O12" s="1159" t="s">
        <v>69</v>
      </c>
      <c r="P12" s="1198">
        <f>$G$61</f>
        <v>0</v>
      </c>
      <c r="Q12" s="1198">
        <f>$G$65</f>
        <v>427.5</v>
      </c>
      <c r="R12" s="1198">
        <f>$H$69</f>
        <v>237.6</v>
      </c>
      <c r="S12" s="1198">
        <f>$G$73</f>
        <v>20.32</v>
      </c>
      <c r="T12" s="1198">
        <f>$G$77</f>
        <v>52.056100000000001</v>
      </c>
      <c r="U12" s="1198">
        <f>$G$81</f>
        <v>0</v>
      </c>
      <c r="V12" s="1198">
        <f>$G$85</f>
        <v>25.139100000000003</v>
      </c>
      <c r="W12" s="1198">
        <f>$G$89</f>
        <v>0</v>
      </c>
      <c r="X12" s="1198">
        <f>$G$93</f>
        <v>0</v>
      </c>
      <c r="Y12" s="1199">
        <f>(F12)*$E$123</f>
        <v>150.83459999999999</v>
      </c>
      <c r="Z12" s="1200">
        <f>IF(($E$121*$E$124*G12)-Y12&lt;0,0,($E$121*$E$124*G12)-Y12)</f>
        <v>68.675399999999996</v>
      </c>
      <c r="AA12" s="1198">
        <f>$G$97</f>
        <v>0</v>
      </c>
    </row>
    <row r="13" spans="1:33" s="1201" customFormat="1" ht="23.25" customHeight="1">
      <c r="A13" s="1190">
        <v>9</v>
      </c>
      <c r="B13" s="1190" t="s">
        <v>30</v>
      </c>
      <c r="C13" s="1196" t="s">
        <v>70</v>
      </c>
      <c r="D13" s="1197" t="s">
        <v>71</v>
      </c>
      <c r="E13" s="1197" t="s">
        <v>33</v>
      </c>
      <c r="F13" s="1156">
        <v>2513.91</v>
      </c>
      <c r="G13" s="690">
        <f>$E$128</f>
        <v>7.3170000000000002</v>
      </c>
      <c r="H13" s="1157">
        <v>0.02</v>
      </c>
      <c r="I13" s="689" t="s">
        <v>43</v>
      </c>
      <c r="J13" s="1159" t="s">
        <v>44</v>
      </c>
      <c r="K13" s="1158" t="s">
        <v>45</v>
      </c>
      <c r="L13" s="1161" t="s">
        <v>46</v>
      </c>
      <c r="M13" s="690" t="s">
        <v>38</v>
      </c>
      <c r="N13" s="1161" t="s">
        <v>39</v>
      </c>
      <c r="O13" s="1159" t="s">
        <v>72</v>
      </c>
      <c r="P13" s="1198">
        <f>$G$61</f>
        <v>0</v>
      </c>
      <c r="Q13" s="1198">
        <f>$G$65</f>
        <v>427.5</v>
      </c>
      <c r="R13" s="1198">
        <f>$H$69</f>
        <v>237.6</v>
      </c>
      <c r="S13" s="1198">
        <f>$G$73</f>
        <v>20.32</v>
      </c>
      <c r="T13" s="1198">
        <f>$G$77</f>
        <v>52.056100000000001</v>
      </c>
      <c r="U13" s="1198">
        <f>$G$81</f>
        <v>0</v>
      </c>
      <c r="V13" s="1198">
        <f>$G$85</f>
        <v>25.139100000000003</v>
      </c>
      <c r="W13" s="1198">
        <f>$G$89</f>
        <v>0</v>
      </c>
      <c r="X13" s="1198">
        <f>$G$93</f>
        <v>0</v>
      </c>
      <c r="Y13" s="1199">
        <f>(F13)*$E$123</f>
        <v>150.83459999999999</v>
      </c>
      <c r="Z13" s="1200">
        <f>IF(($E$121*$E$124*G13)-Y13&lt;0,0,($E$121*$E$124*G13)-Y13)</f>
        <v>68.675399999999996</v>
      </c>
      <c r="AA13" s="1198">
        <f>$G$97</f>
        <v>0</v>
      </c>
    </row>
    <row r="14" spans="1:33" s="1201" customFormat="1" ht="31.5">
      <c r="A14" s="1190">
        <v>10</v>
      </c>
      <c r="B14" s="1190" t="s">
        <v>30</v>
      </c>
      <c r="C14" s="1203" t="s">
        <v>73</v>
      </c>
      <c r="D14" s="1197" t="s">
        <v>74</v>
      </c>
      <c r="E14" s="1197" t="s">
        <v>33</v>
      </c>
      <c r="F14" s="1156">
        <v>2513.91</v>
      </c>
      <c r="G14" s="690">
        <f>$E$128</f>
        <v>7.3170000000000002</v>
      </c>
      <c r="H14" s="1157">
        <v>0.02</v>
      </c>
      <c r="I14" s="689" t="s">
        <v>43</v>
      </c>
      <c r="J14" s="1159" t="s">
        <v>44</v>
      </c>
      <c r="K14" s="1158" t="s">
        <v>45</v>
      </c>
      <c r="L14" s="1161" t="s">
        <v>46</v>
      </c>
      <c r="M14" s="690" t="s">
        <v>38</v>
      </c>
      <c r="N14" s="1161" t="s">
        <v>39</v>
      </c>
      <c r="O14" s="1159" t="s">
        <v>75</v>
      </c>
      <c r="P14" s="1198">
        <f>$G$61</f>
        <v>0</v>
      </c>
      <c r="Q14" s="1198">
        <f>$G$65</f>
        <v>427.5</v>
      </c>
      <c r="R14" s="1198">
        <f>$H$69</f>
        <v>237.6</v>
      </c>
      <c r="S14" s="1198">
        <f>$G$73</f>
        <v>20.32</v>
      </c>
      <c r="T14" s="1198">
        <f>$G$77</f>
        <v>52.056100000000001</v>
      </c>
      <c r="U14" s="1198">
        <f>$G$81</f>
        <v>0</v>
      </c>
      <c r="V14" s="1198">
        <f>$G$85</f>
        <v>25.139100000000003</v>
      </c>
      <c r="W14" s="1198">
        <f>$G$89</f>
        <v>0</v>
      </c>
      <c r="X14" s="1198">
        <f>$G$93</f>
        <v>0</v>
      </c>
      <c r="Y14" s="1199">
        <f>(F14)*$E$123</f>
        <v>150.83459999999999</v>
      </c>
      <c r="Z14" s="1200">
        <f>IF(($E$121*$E$124*G14)-Y14&lt;0,0,($E$121*$E$124*G14)-Y14)</f>
        <v>68.675399999999996</v>
      </c>
      <c r="AA14" s="1198">
        <f>$G$97</f>
        <v>0</v>
      </c>
    </row>
    <row r="15" spans="1:33" s="1201" customFormat="1" ht="31.5">
      <c r="A15" s="1190">
        <v>11</v>
      </c>
      <c r="B15" s="1190" t="s">
        <v>30</v>
      </c>
      <c r="C15" s="1203" t="s">
        <v>76</v>
      </c>
      <c r="D15" s="1197" t="s">
        <v>77</v>
      </c>
      <c r="E15" s="1197" t="s">
        <v>33</v>
      </c>
      <c r="F15" s="1156">
        <v>2513.91</v>
      </c>
      <c r="G15" s="690">
        <f>$E$128</f>
        <v>7.3170000000000002</v>
      </c>
      <c r="H15" s="1157">
        <v>0.02</v>
      </c>
      <c r="I15" s="689" t="s">
        <v>43</v>
      </c>
      <c r="J15" s="1159" t="s">
        <v>44</v>
      </c>
      <c r="K15" s="1158" t="s">
        <v>45</v>
      </c>
      <c r="L15" s="1161" t="s">
        <v>46</v>
      </c>
      <c r="M15" s="690" t="s">
        <v>38</v>
      </c>
      <c r="N15" s="1161" t="s">
        <v>39</v>
      </c>
      <c r="O15" s="1159" t="s">
        <v>78</v>
      </c>
      <c r="P15" s="1198">
        <f>$G$61</f>
        <v>0</v>
      </c>
      <c r="Q15" s="1198">
        <f>$G$65</f>
        <v>427.5</v>
      </c>
      <c r="R15" s="1198">
        <f>$H$69</f>
        <v>237.6</v>
      </c>
      <c r="S15" s="1198">
        <f>$G$73</f>
        <v>20.32</v>
      </c>
      <c r="T15" s="1198">
        <f>$G$77</f>
        <v>52.056100000000001</v>
      </c>
      <c r="U15" s="1198">
        <f>$G$81</f>
        <v>0</v>
      </c>
      <c r="V15" s="1198">
        <f>$G$85</f>
        <v>25.139100000000003</v>
      </c>
      <c r="W15" s="1198">
        <f>$G$89</f>
        <v>0</v>
      </c>
      <c r="X15" s="1198">
        <f>$G$93</f>
        <v>0</v>
      </c>
      <c r="Y15" s="1199">
        <f>(F15)*$E$123</f>
        <v>150.83459999999999</v>
      </c>
      <c r="Z15" s="1200">
        <f>IF(($E$121*$E$124*G15)-Y15&lt;0,0,($E$121*$E$124*G15)-Y15)</f>
        <v>68.675399999999996</v>
      </c>
      <c r="AA15" s="1198">
        <f>$G$97</f>
        <v>0</v>
      </c>
    </row>
    <row r="16" spans="1:33" s="1201" customFormat="1" ht="23.25" customHeight="1">
      <c r="A16" s="1190">
        <v>12</v>
      </c>
      <c r="B16" s="1190" t="s">
        <v>30</v>
      </c>
      <c r="C16" s="1196" t="s">
        <v>79</v>
      </c>
      <c r="D16" s="1197" t="s">
        <v>80</v>
      </c>
      <c r="E16" s="1197" t="s">
        <v>33</v>
      </c>
      <c r="F16" s="1156">
        <v>2513.91</v>
      </c>
      <c r="G16" s="690">
        <f>$E$128</f>
        <v>7.3170000000000002</v>
      </c>
      <c r="H16" s="1157">
        <v>0.02</v>
      </c>
      <c r="I16" s="1158" t="s">
        <v>43</v>
      </c>
      <c r="J16" s="1159" t="s">
        <v>44</v>
      </c>
      <c r="K16" s="1158" t="s">
        <v>45</v>
      </c>
      <c r="L16" s="1159" t="s">
        <v>46</v>
      </c>
      <c r="M16" s="1160" t="s">
        <v>38</v>
      </c>
      <c r="N16" s="1160" t="s">
        <v>39</v>
      </c>
      <c r="O16" s="1159" t="s">
        <v>81</v>
      </c>
      <c r="P16" s="1198">
        <f>$G$61</f>
        <v>0</v>
      </c>
      <c r="Q16" s="1198">
        <f>$G$65</f>
        <v>427.5</v>
      </c>
      <c r="R16" s="1198">
        <f>$G$69</f>
        <v>348.48</v>
      </c>
      <c r="S16" s="1198">
        <f>$G$73</f>
        <v>20.32</v>
      </c>
      <c r="T16" s="1198">
        <f>$G$77</f>
        <v>52.056100000000001</v>
      </c>
      <c r="U16" s="1198">
        <f>$G$81</f>
        <v>0</v>
      </c>
      <c r="V16" s="1198">
        <f>$G$85</f>
        <v>25.139100000000003</v>
      </c>
      <c r="W16" s="1198">
        <f>$G$89</f>
        <v>0</v>
      </c>
      <c r="X16" s="1198">
        <f>$G$93</f>
        <v>0</v>
      </c>
      <c r="Y16" s="1199">
        <f>(F16)*$E$123</f>
        <v>150.83459999999999</v>
      </c>
      <c r="Z16" s="1200">
        <f>IF(($E$121*$E$125*G16)-Y16&lt;0,0,($E$121*$E$125*G16)-Y16)</f>
        <v>171.11339999999998</v>
      </c>
      <c r="AA16" s="1198">
        <f>$G$97</f>
        <v>0</v>
      </c>
    </row>
    <row r="17" spans="1:27" s="1201" customFormat="1" ht="23.25" customHeight="1">
      <c r="A17" s="1190">
        <v>13</v>
      </c>
      <c r="B17" s="1190" t="s">
        <v>30</v>
      </c>
      <c r="C17" s="1196" t="s">
        <v>82</v>
      </c>
      <c r="D17" s="1197" t="s">
        <v>83</v>
      </c>
      <c r="E17" s="1197" t="s">
        <v>33</v>
      </c>
      <c r="F17" s="1156">
        <v>2513.91</v>
      </c>
      <c r="G17" s="690">
        <f>$E$128</f>
        <v>7.3170000000000002</v>
      </c>
      <c r="H17" s="1157">
        <v>0.02</v>
      </c>
      <c r="I17" s="1158" t="s">
        <v>43</v>
      </c>
      <c r="J17" s="1159" t="s">
        <v>44</v>
      </c>
      <c r="K17" s="1158" t="s">
        <v>45</v>
      </c>
      <c r="L17" s="1159" t="s">
        <v>46</v>
      </c>
      <c r="M17" s="1160" t="s">
        <v>38</v>
      </c>
      <c r="N17" s="1160" t="s">
        <v>39</v>
      </c>
      <c r="O17" s="1159" t="s">
        <v>84</v>
      </c>
      <c r="P17" s="1198">
        <f>$G$61</f>
        <v>0</v>
      </c>
      <c r="Q17" s="1198">
        <f>$G$65</f>
        <v>427.5</v>
      </c>
      <c r="R17" s="1198">
        <f>$G$69</f>
        <v>348.48</v>
      </c>
      <c r="S17" s="1198">
        <f>$G$73</f>
        <v>20.32</v>
      </c>
      <c r="T17" s="1198">
        <f>$G$77</f>
        <v>52.056100000000001</v>
      </c>
      <c r="U17" s="1198">
        <f>$G$81</f>
        <v>0</v>
      </c>
      <c r="V17" s="1198">
        <f>$G$85</f>
        <v>25.139100000000003</v>
      </c>
      <c r="W17" s="1198">
        <f>$G$89</f>
        <v>0</v>
      </c>
      <c r="X17" s="1198">
        <f>$G$93</f>
        <v>0</v>
      </c>
      <c r="Y17" s="1199">
        <f>(F17)*$E$123</f>
        <v>150.83459999999999</v>
      </c>
      <c r="Z17" s="1200">
        <f>IF(($E$121*$E$125*G17)-Y17&lt;0,0,($E$121*$E$125*G17)-Y17)</f>
        <v>171.11339999999998</v>
      </c>
      <c r="AA17" s="1198">
        <f>$G$97</f>
        <v>0</v>
      </c>
    </row>
    <row r="18" spans="1:27" s="1201" customFormat="1" ht="23.25" customHeight="1">
      <c r="A18" s="1190">
        <v>14</v>
      </c>
      <c r="B18" s="1190" t="s">
        <v>30</v>
      </c>
      <c r="C18" s="1196" t="s">
        <v>85</v>
      </c>
      <c r="D18" s="1197" t="s">
        <v>86</v>
      </c>
      <c r="E18" s="1197" t="s">
        <v>33</v>
      </c>
      <c r="F18" s="1156">
        <v>2513.91</v>
      </c>
      <c r="G18" s="690">
        <f>$E$128</f>
        <v>7.3170000000000002</v>
      </c>
      <c r="H18" s="1157">
        <v>0.02</v>
      </c>
      <c r="I18" s="1158" t="s">
        <v>43</v>
      </c>
      <c r="J18" s="1159" t="s">
        <v>44</v>
      </c>
      <c r="K18" s="1158" t="s">
        <v>45</v>
      </c>
      <c r="L18" s="1159" t="s">
        <v>46</v>
      </c>
      <c r="M18" s="1160" t="s">
        <v>38</v>
      </c>
      <c r="N18" s="1160" t="s">
        <v>39</v>
      </c>
      <c r="O18" s="1159" t="s">
        <v>87</v>
      </c>
      <c r="P18" s="1198">
        <f>$G$61</f>
        <v>0</v>
      </c>
      <c r="Q18" s="1198">
        <f>$G$65</f>
        <v>427.5</v>
      </c>
      <c r="R18" s="1198">
        <f>$G$69</f>
        <v>348.48</v>
      </c>
      <c r="S18" s="1198">
        <f>$G$73</f>
        <v>20.32</v>
      </c>
      <c r="T18" s="1198">
        <f>$G$77</f>
        <v>52.056100000000001</v>
      </c>
      <c r="U18" s="1198">
        <f>$G$81</f>
        <v>0</v>
      </c>
      <c r="V18" s="1198">
        <f>$G$85</f>
        <v>25.139100000000003</v>
      </c>
      <c r="W18" s="1198">
        <f>$G$89</f>
        <v>0</v>
      </c>
      <c r="X18" s="1198">
        <f>$G$93</f>
        <v>0</v>
      </c>
      <c r="Y18" s="1199">
        <f>(F18)*$E$123</f>
        <v>150.83459999999999</v>
      </c>
      <c r="Z18" s="1200">
        <f>IF(($E$121*$E$125*G18)-Y18&lt;0,0,($E$121*$E$125*G18)-Y18)</f>
        <v>171.11339999999998</v>
      </c>
      <c r="AA18" s="1198">
        <f>$G$97</f>
        <v>0</v>
      </c>
    </row>
    <row r="19" spans="1:27" s="1201" customFormat="1" ht="23.25" customHeight="1">
      <c r="A19" s="1190">
        <v>15</v>
      </c>
      <c r="B19" s="1190" t="s">
        <v>30</v>
      </c>
      <c r="C19" s="1196" t="s">
        <v>88</v>
      </c>
      <c r="D19" s="1197" t="s">
        <v>1221</v>
      </c>
      <c r="E19" s="1197" t="s">
        <v>58</v>
      </c>
      <c r="F19" s="1156">
        <v>2066.0100000000002</v>
      </c>
      <c r="G19" s="690">
        <f>$E$128</f>
        <v>7.3170000000000002</v>
      </c>
      <c r="H19" s="1157">
        <v>0.02</v>
      </c>
      <c r="I19" s="1158" t="s">
        <v>43</v>
      </c>
      <c r="J19" s="1159" t="s">
        <v>44</v>
      </c>
      <c r="K19" s="1158" t="s">
        <v>45</v>
      </c>
      <c r="L19" s="1159" t="s">
        <v>46</v>
      </c>
      <c r="M19" s="1160" t="s">
        <v>38</v>
      </c>
      <c r="N19" s="1160" t="s">
        <v>39</v>
      </c>
      <c r="O19" s="1159" t="s">
        <v>89</v>
      </c>
      <c r="P19" s="1198">
        <f>$G$61</f>
        <v>0</v>
      </c>
      <c r="Q19" s="1198">
        <f>$G$65</f>
        <v>427.5</v>
      </c>
      <c r="R19" s="1198">
        <f>$G$69</f>
        <v>348.48</v>
      </c>
      <c r="S19" s="1198">
        <f>$G$73</f>
        <v>20.32</v>
      </c>
      <c r="T19" s="1198">
        <f>$G$77</f>
        <v>52.056100000000001</v>
      </c>
      <c r="U19" s="1198">
        <f>$G$81</f>
        <v>0</v>
      </c>
      <c r="V19" s="1198">
        <f>$G$85</f>
        <v>25.139100000000003</v>
      </c>
      <c r="W19" s="1198">
        <f>$G$89</f>
        <v>0</v>
      </c>
      <c r="X19" s="1198">
        <f>$G$93</f>
        <v>0</v>
      </c>
      <c r="Y19" s="1199">
        <f>(F19)*$E$123</f>
        <v>123.96060000000001</v>
      </c>
      <c r="Z19" s="1200">
        <f>IF(($E$121*$E$125*G19)-Y19&lt;0,0,($E$121*$E$125*G19)-Y19)</f>
        <v>197.98739999999998</v>
      </c>
      <c r="AA19" s="1198">
        <f>$G$97</f>
        <v>0</v>
      </c>
    </row>
    <row r="20" spans="1:27" s="1201" customFormat="1" ht="47.25">
      <c r="A20" s="1190">
        <v>16</v>
      </c>
      <c r="B20" s="1190" t="s">
        <v>30</v>
      </c>
      <c r="C20" s="1196" t="s">
        <v>90</v>
      </c>
      <c r="D20" s="1197" t="s">
        <v>91</v>
      </c>
      <c r="E20" s="1197" t="s">
        <v>33</v>
      </c>
      <c r="F20" s="1156">
        <v>2639.15</v>
      </c>
      <c r="G20" s="690">
        <f>$E$128</f>
        <v>7.3170000000000002</v>
      </c>
      <c r="H20" s="1157">
        <v>0.02</v>
      </c>
      <c r="I20" s="1158" t="s">
        <v>92</v>
      </c>
      <c r="J20" s="1159" t="s">
        <v>93</v>
      </c>
      <c r="K20" s="1158" t="s">
        <v>94</v>
      </c>
      <c r="L20" s="1159" t="s">
        <v>95</v>
      </c>
      <c r="M20" s="1160" t="s">
        <v>38</v>
      </c>
      <c r="N20" s="1160" t="s">
        <v>96</v>
      </c>
      <c r="O20" s="1159" t="s">
        <v>97</v>
      </c>
      <c r="P20" s="1198">
        <f>$G$60</f>
        <v>475.79999999999995</v>
      </c>
      <c r="Q20" s="1198">
        <f>$G$64</f>
        <v>179.28</v>
      </c>
      <c r="R20" s="1198">
        <f>$G$68</f>
        <v>0</v>
      </c>
      <c r="S20" s="1198">
        <f>$G$72</f>
        <v>20.32</v>
      </c>
      <c r="T20" s="1198">
        <f>$G$76</f>
        <v>54.6494</v>
      </c>
      <c r="U20" s="1198">
        <f>$G$80</f>
        <v>0</v>
      </c>
      <c r="V20" s="1198">
        <f>$G$84</f>
        <v>13.195750000000004</v>
      </c>
      <c r="W20" s="1198">
        <f>$G$88</f>
        <v>13.195750000000004</v>
      </c>
      <c r="X20" s="1198">
        <f>$G$92</f>
        <v>8.7999999999999989</v>
      </c>
      <c r="Y20" s="1199">
        <f>(F20)*$E$123</f>
        <v>158.34899999999999</v>
      </c>
      <c r="Z20" s="1200">
        <f>IF(($E$121*$E$124*G20)-Y20&lt;0,0,($E$121*$E$124*G20)-Y20)</f>
        <v>61.161000000000001</v>
      </c>
      <c r="AA20" s="1198">
        <f>$G$96</f>
        <v>0</v>
      </c>
    </row>
    <row r="21" spans="1:27" s="1201" customFormat="1" ht="23.25" customHeight="1">
      <c r="A21" s="1190">
        <v>17</v>
      </c>
      <c r="B21" s="1190" t="s">
        <v>98</v>
      </c>
      <c r="C21" s="1196" t="s">
        <v>48</v>
      </c>
      <c r="D21" s="1197" t="s">
        <v>99</v>
      </c>
      <c r="E21" s="1197" t="s">
        <v>33</v>
      </c>
      <c r="F21" s="1156">
        <v>2513.91</v>
      </c>
      <c r="G21" s="690">
        <f>$E$128</f>
        <v>7.3170000000000002</v>
      </c>
      <c r="H21" s="1157">
        <v>0.02</v>
      </c>
      <c r="I21" s="1158" t="s">
        <v>43</v>
      </c>
      <c r="J21" s="1159" t="s">
        <v>44</v>
      </c>
      <c r="K21" s="1158" t="s">
        <v>45</v>
      </c>
      <c r="L21" s="1159" t="s">
        <v>46</v>
      </c>
      <c r="M21" s="1160" t="s">
        <v>38</v>
      </c>
      <c r="N21" s="1160" t="s">
        <v>39</v>
      </c>
      <c r="O21" s="1159" t="s">
        <v>89</v>
      </c>
      <c r="P21" s="1198">
        <f>$G$61</f>
        <v>0</v>
      </c>
      <c r="Q21" s="1198">
        <f>$G$65</f>
        <v>427.5</v>
      </c>
      <c r="R21" s="1198">
        <f>$G$69</f>
        <v>348.48</v>
      </c>
      <c r="S21" s="1198">
        <f>$G$73</f>
        <v>20.32</v>
      </c>
      <c r="T21" s="1198">
        <f>$G$77</f>
        <v>52.056100000000001</v>
      </c>
      <c r="U21" s="1198">
        <f>$G$81</f>
        <v>0</v>
      </c>
      <c r="V21" s="1198">
        <f>$G$85</f>
        <v>25.139100000000003</v>
      </c>
      <c r="W21" s="1198">
        <f>$G$89</f>
        <v>0</v>
      </c>
      <c r="X21" s="1198">
        <f>$G$93</f>
        <v>0</v>
      </c>
      <c r="Y21" s="1199">
        <f>(F21)*$E$123</f>
        <v>150.83459999999999</v>
      </c>
      <c r="Z21" s="1200">
        <f>IF(($E$121*$E$125*G21)-Y21&lt;0,0,($E$121*$E$125*G21)-Y21)</f>
        <v>171.11339999999998</v>
      </c>
      <c r="AA21" s="1198">
        <f>$G$97</f>
        <v>0</v>
      </c>
    </row>
    <row r="22" spans="1:27" s="1201" customFormat="1" ht="23.25" customHeight="1">
      <c r="A22" s="1190">
        <v>18</v>
      </c>
      <c r="B22" s="1190" t="s">
        <v>100</v>
      </c>
      <c r="C22" s="1196" t="s">
        <v>48</v>
      </c>
      <c r="D22" s="1197" t="s">
        <v>101</v>
      </c>
      <c r="E22" s="1197" t="s">
        <v>33</v>
      </c>
      <c r="F22" s="1156">
        <v>2513.91</v>
      </c>
      <c r="G22" s="690">
        <f>$E$128</f>
        <v>7.3170000000000002</v>
      </c>
      <c r="H22" s="1157">
        <v>0.02</v>
      </c>
      <c r="I22" s="1158" t="s">
        <v>43</v>
      </c>
      <c r="J22" s="1159" t="s">
        <v>44</v>
      </c>
      <c r="K22" s="1158" t="s">
        <v>45</v>
      </c>
      <c r="L22" s="1159" t="s">
        <v>46</v>
      </c>
      <c r="M22" s="1160" t="s">
        <v>38</v>
      </c>
      <c r="N22" s="1160" t="s">
        <v>39</v>
      </c>
      <c r="O22" s="1159" t="s">
        <v>89</v>
      </c>
      <c r="P22" s="1198">
        <f>$G$61</f>
        <v>0</v>
      </c>
      <c r="Q22" s="1198">
        <f>$G$65</f>
        <v>427.5</v>
      </c>
      <c r="R22" s="1198">
        <f>$G$69</f>
        <v>348.48</v>
      </c>
      <c r="S22" s="1198">
        <f>$G$73</f>
        <v>20.32</v>
      </c>
      <c r="T22" s="1198">
        <f>$G$77</f>
        <v>52.056100000000001</v>
      </c>
      <c r="U22" s="1198">
        <f>$G$81</f>
        <v>0</v>
      </c>
      <c r="V22" s="1198">
        <f>$G$85</f>
        <v>25.139100000000003</v>
      </c>
      <c r="W22" s="1198">
        <f>$G$89</f>
        <v>0</v>
      </c>
      <c r="X22" s="1198">
        <f>$G$93</f>
        <v>0</v>
      </c>
      <c r="Y22" s="1199">
        <f>(F22)*$E$123</f>
        <v>150.83459999999999</v>
      </c>
      <c r="Z22" s="1200">
        <f>IF(($E$121*$E$125*G22)-Y22&lt;0,0,($E$121*$E$125*G22)-Y22)</f>
        <v>171.11339999999998</v>
      </c>
      <c r="AA22" s="1198">
        <f>$G$97</f>
        <v>0</v>
      </c>
    </row>
    <row r="23" spans="1:27" s="1201" customFormat="1" ht="23.25" customHeight="1">
      <c r="A23" s="1190">
        <v>19</v>
      </c>
      <c r="B23" s="1190" t="s">
        <v>100</v>
      </c>
      <c r="C23" s="1196" t="s">
        <v>88</v>
      </c>
      <c r="D23" s="1197" t="s">
        <v>1219</v>
      </c>
      <c r="E23" s="1197" t="s">
        <v>58</v>
      </c>
      <c r="F23" s="1156">
        <v>2066.0100000000002</v>
      </c>
      <c r="G23" s="690">
        <f>$E$128</f>
        <v>7.3170000000000002</v>
      </c>
      <c r="H23" s="1157">
        <v>0.02</v>
      </c>
      <c r="I23" s="1158" t="s">
        <v>43</v>
      </c>
      <c r="J23" s="1159" t="s">
        <v>44</v>
      </c>
      <c r="K23" s="1158" t="s">
        <v>45</v>
      </c>
      <c r="L23" s="1159" t="s">
        <v>46</v>
      </c>
      <c r="M23" s="1160" t="s">
        <v>38</v>
      </c>
      <c r="N23" s="1160" t="s">
        <v>39</v>
      </c>
      <c r="O23" s="1159" t="s">
        <v>89</v>
      </c>
      <c r="P23" s="1198">
        <f t="shared" ref="P23" si="0">$G$61</f>
        <v>0</v>
      </c>
      <c r="Q23" s="1198">
        <f t="shared" ref="Q23" si="1">$G$65</f>
        <v>427.5</v>
      </c>
      <c r="R23" s="1198">
        <f>$G$69</f>
        <v>348.48</v>
      </c>
      <c r="S23" s="1198">
        <f t="shared" ref="S23" si="2">$G$73</f>
        <v>20.32</v>
      </c>
      <c r="T23" s="1198">
        <f t="shared" ref="T23" si="3">$G$77</f>
        <v>52.056100000000001</v>
      </c>
      <c r="U23" s="1198">
        <f t="shared" ref="U23" si="4">$G$81</f>
        <v>0</v>
      </c>
      <c r="V23" s="1198">
        <f t="shared" ref="V23" si="5">$G$85</f>
        <v>25.139100000000003</v>
      </c>
      <c r="W23" s="1198">
        <f t="shared" ref="W23" si="6">$G$89</f>
        <v>0</v>
      </c>
      <c r="X23" s="1198">
        <f t="shared" ref="X23" si="7">$G$93</f>
        <v>0</v>
      </c>
      <c r="Y23" s="1199">
        <f>(F23)*$E$123</f>
        <v>123.96060000000001</v>
      </c>
      <c r="Z23" s="1200">
        <f>IF(($E$121*$E$125*G23)-Y23&lt;0,0,($E$121*$E$125*G23)-Y23)</f>
        <v>197.98739999999998</v>
      </c>
      <c r="AA23" s="1198">
        <f t="shared" ref="AA23" si="8">$G$97</f>
        <v>0</v>
      </c>
    </row>
    <row r="24" spans="1:27" s="1201" customFormat="1" ht="15.75">
      <c r="A24" s="1190">
        <v>20</v>
      </c>
      <c r="B24" s="1190" t="s">
        <v>102</v>
      </c>
      <c r="C24" s="1196" t="s">
        <v>48</v>
      </c>
      <c r="D24" s="1197" t="s">
        <v>103</v>
      </c>
      <c r="E24" s="1197" t="s">
        <v>33</v>
      </c>
      <c r="F24" s="1156">
        <v>2513.91</v>
      </c>
      <c r="G24" s="690">
        <v>5.4</v>
      </c>
      <c r="H24" s="1157">
        <v>0.04</v>
      </c>
      <c r="I24" s="1158" t="s">
        <v>104</v>
      </c>
      <c r="J24" s="1159" t="s">
        <v>105</v>
      </c>
      <c r="K24" s="1158" t="s">
        <v>106</v>
      </c>
      <c r="L24" s="1159" t="s">
        <v>107</v>
      </c>
      <c r="M24" s="1160" t="s">
        <v>38</v>
      </c>
      <c r="N24" s="1160" t="s">
        <v>39</v>
      </c>
      <c r="O24" s="1159" t="s">
        <v>108</v>
      </c>
      <c r="P24" s="1198">
        <f>$G$61</f>
        <v>0</v>
      </c>
      <c r="Q24" s="1198">
        <f>$G$65</f>
        <v>427.5</v>
      </c>
      <c r="R24" s="1198">
        <f>$G$69</f>
        <v>348.48</v>
      </c>
      <c r="S24" s="1198">
        <f>$G$73</f>
        <v>20.32</v>
      </c>
      <c r="T24" s="1198">
        <f>$G$77</f>
        <v>52.056100000000001</v>
      </c>
      <c r="U24" s="1198">
        <f>$G$81</f>
        <v>0</v>
      </c>
      <c r="V24" s="1198">
        <f>$G$85</f>
        <v>25.139100000000003</v>
      </c>
      <c r="W24" s="1198">
        <f>$G$89</f>
        <v>0</v>
      </c>
      <c r="X24" s="1198">
        <f>$G$93</f>
        <v>0</v>
      </c>
      <c r="Y24" s="1199">
        <f>(F24)*$E$123</f>
        <v>150.83459999999999</v>
      </c>
      <c r="Z24" s="1200">
        <f>IF(($E$121*$E$125*G24)-Y24&lt;0,0,($E$121*$E$125*G24)-Y24)</f>
        <v>86.765400000000028</v>
      </c>
      <c r="AA24" s="1198">
        <f>$G$97</f>
        <v>0</v>
      </c>
    </row>
    <row r="25" spans="1:27" s="1201" customFormat="1" ht="15.75">
      <c r="A25" s="1190">
        <v>21</v>
      </c>
      <c r="B25" s="1190" t="s">
        <v>109</v>
      </c>
      <c r="C25" s="1196" t="s">
        <v>48</v>
      </c>
      <c r="D25" s="1197" t="s">
        <v>110</v>
      </c>
      <c r="E25" s="1197" t="s">
        <v>33</v>
      </c>
      <c r="F25" s="1156">
        <v>2513.91</v>
      </c>
      <c r="G25" s="690">
        <v>4.8</v>
      </c>
      <c r="H25" s="1157">
        <v>0.03</v>
      </c>
      <c r="I25" s="1158" t="s">
        <v>104</v>
      </c>
      <c r="J25" s="1159" t="s">
        <v>111</v>
      </c>
      <c r="K25" s="1158" t="s">
        <v>106</v>
      </c>
      <c r="L25" s="1159" t="s">
        <v>107</v>
      </c>
      <c r="M25" s="1160" t="s">
        <v>38</v>
      </c>
      <c r="N25" s="1160" t="s">
        <v>39</v>
      </c>
      <c r="O25" s="1159" t="s">
        <v>108</v>
      </c>
      <c r="P25" s="1198">
        <f>$G$61</f>
        <v>0</v>
      </c>
      <c r="Q25" s="1198">
        <f>$G$65</f>
        <v>427.5</v>
      </c>
      <c r="R25" s="1198">
        <f>$G$69</f>
        <v>348.48</v>
      </c>
      <c r="S25" s="1198">
        <f>$G$73</f>
        <v>20.32</v>
      </c>
      <c r="T25" s="1198">
        <f>$G$77</f>
        <v>52.056100000000001</v>
      </c>
      <c r="U25" s="1198">
        <f>$G$81</f>
        <v>0</v>
      </c>
      <c r="V25" s="1198">
        <f>$G$85</f>
        <v>25.139100000000003</v>
      </c>
      <c r="W25" s="1198">
        <f>$G$89</f>
        <v>0</v>
      </c>
      <c r="X25" s="1198">
        <f>$G$93</f>
        <v>0</v>
      </c>
      <c r="Y25" s="1199">
        <f>(F25)*$E$123</f>
        <v>150.83459999999999</v>
      </c>
      <c r="Z25" s="1200">
        <f>IF(($E$121*$E$125*G25)-Y25&lt;0,0,($E$121*$E$125*G25)-Y25)</f>
        <v>60.365399999999994</v>
      </c>
      <c r="AA25" s="1198">
        <f>$G$97</f>
        <v>0</v>
      </c>
    </row>
    <row r="26" spans="1:27" s="1201" customFormat="1" ht="15.75">
      <c r="A26" s="1190">
        <v>22</v>
      </c>
      <c r="B26" s="1190" t="s">
        <v>112</v>
      </c>
      <c r="C26" s="1196" t="s">
        <v>48</v>
      </c>
      <c r="D26" s="1197" t="s">
        <v>113</v>
      </c>
      <c r="E26" s="1197" t="s">
        <v>33</v>
      </c>
      <c r="F26" s="1156">
        <v>2513.91</v>
      </c>
      <c r="G26" s="690">
        <v>5</v>
      </c>
      <c r="H26" s="1157">
        <v>0.02</v>
      </c>
      <c r="I26" s="1158" t="s">
        <v>104</v>
      </c>
      <c r="J26" s="1159" t="s">
        <v>114</v>
      </c>
      <c r="K26" s="1158" t="s">
        <v>106</v>
      </c>
      <c r="L26" s="1159" t="s">
        <v>107</v>
      </c>
      <c r="M26" s="1160" t="s">
        <v>38</v>
      </c>
      <c r="N26" s="1160" t="s">
        <v>39</v>
      </c>
      <c r="O26" s="1159" t="s">
        <v>108</v>
      </c>
      <c r="P26" s="1198">
        <f>$G$61</f>
        <v>0</v>
      </c>
      <c r="Q26" s="1198">
        <f>$G$65</f>
        <v>427.5</v>
      </c>
      <c r="R26" s="1198">
        <f>$G$69</f>
        <v>348.48</v>
      </c>
      <c r="S26" s="1198">
        <f>$G$73</f>
        <v>20.32</v>
      </c>
      <c r="T26" s="1198">
        <f>$G$77</f>
        <v>52.056100000000001</v>
      </c>
      <c r="U26" s="1198">
        <f>$G$81</f>
        <v>0</v>
      </c>
      <c r="V26" s="1198">
        <f>$G$85</f>
        <v>25.139100000000003</v>
      </c>
      <c r="W26" s="1198">
        <f>$G$89</f>
        <v>0</v>
      </c>
      <c r="X26" s="1198">
        <f>$G$93</f>
        <v>0</v>
      </c>
      <c r="Y26" s="1199">
        <f>(F26)*$E$123</f>
        <v>150.83459999999999</v>
      </c>
      <c r="Z26" s="1200">
        <f>IF(($E$121*$E$125*G26)-Y26&lt;0,0,($E$121*$E$125*G26)-Y26)</f>
        <v>69.165400000000005</v>
      </c>
      <c r="AA26" s="1198">
        <f>$G$97</f>
        <v>0</v>
      </c>
    </row>
    <row r="27" spans="1:27" s="1201" customFormat="1" ht="15.75">
      <c r="A27" s="1190">
        <v>23</v>
      </c>
      <c r="B27" s="1190" t="s">
        <v>115</v>
      </c>
      <c r="C27" s="691" t="s">
        <v>1223</v>
      </c>
      <c r="D27" s="687" t="s">
        <v>1222</v>
      </c>
      <c r="E27" s="687" t="s">
        <v>33</v>
      </c>
      <c r="F27" s="1156">
        <v>2513.91</v>
      </c>
      <c r="G27" s="690">
        <v>5.9</v>
      </c>
      <c r="H27" s="1157">
        <v>0.05</v>
      </c>
      <c r="I27" s="1158" t="s">
        <v>104</v>
      </c>
      <c r="J27" s="1159" t="s">
        <v>116</v>
      </c>
      <c r="K27" s="1158" t="s">
        <v>106</v>
      </c>
      <c r="L27" s="1159" t="s">
        <v>107</v>
      </c>
      <c r="M27" s="1160" t="s">
        <v>38</v>
      </c>
      <c r="N27" s="1160" t="s">
        <v>39</v>
      </c>
      <c r="O27" s="1159" t="s">
        <v>108</v>
      </c>
      <c r="P27" s="1198">
        <f>$G$61</f>
        <v>0</v>
      </c>
      <c r="Q27" s="1198">
        <f>$G$65</f>
        <v>427.5</v>
      </c>
      <c r="R27" s="1198">
        <f>$G$69</f>
        <v>348.48</v>
      </c>
      <c r="S27" s="1198">
        <f>$G$73</f>
        <v>20.32</v>
      </c>
      <c r="T27" s="1198">
        <f>$G$77</f>
        <v>52.056100000000001</v>
      </c>
      <c r="U27" s="1198">
        <f>$G$81</f>
        <v>0</v>
      </c>
      <c r="V27" s="1198">
        <f>$G$85</f>
        <v>25.139100000000003</v>
      </c>
      <c r="W27" s="1198">
        <f>$G$89</f>
        <v>0</v>
      </c>
      <c r="X27" s="1198">
        <f>$G$93</f>
        <v>0</v>
      </c>
      <c r="Y27" s="1199">
        <f>(F27)*$E$123</f>
        <v>150.83459999999999</v>
      </c>
      <c r="Z27" s="1200">
        <f>IF(($E$121*$E$125*G27)-Y27&lt;0,0,($E$121*$E$125*G27)-Y27)</f>
        <v>108.76540000000003</v>
      </c>
      <c r="AA27" s="1198">
        <f>$G$97</f>
        <v>0</v>
      </c>
    </row>
    <row r="28" spans="1:27" s="1201" customFormat="1" ht="15.75">
      <c r="A28" s="1190">
        <v>24</v>
      </c>
      <c r="B28" s="1190" t="s">
        <v>115</v>
      </c>
      <c r="C28" s="1196" t="s">
        <v>48</v>
      </c>
      <c r="D28" s="1197" t="s">
        <v>117</v>
      </c>
      <c r="E28" s="1197" t="s">
        <v>33</v>
      </c>
      <c r="F28" s="1156">
        <v>2513.91</v>
      </c>
      <c r="G28" s="690">
        <v>5.9</v>
      </c>
      <c r="H28" s="1157">
        <v>0.05</v>
      </c>
      <c r="I28" s="1158" t="s">
        <v>104</v>
      </c>
      <c r="J28" s="1159" t="s">
        <v>118</v>
      </c>
      <c r="K28" s="1158" t="s">
        <v>106</v>
      </c>
      <c r="L28" s="1159" t="s">
        <v>107</v>
      </c>
      <c r="M28" s="1160" t="s">
        <v>38</v>
      </c>
      <c r="N28" s="1160" t="s">
        <v>39</v>
      </c>
      <c r="O28" s="1159" t="s">
        <v>108</v>
      </c>
      <c r="P28" s="1198">
        <f>$G$61</f>
        <v>0</v>
      </c>
      <c r="Q28" s="1198">
        <f>$G$65</f>
        <v>427.5</v>
      </c>
      <c r="R28" s="1198">
        <f>$G$69</f>
        <v>348.48</v>
      </c>
      <c r="S28" s="1198">
        <f>$G$73</f>
        <v>20.32</v>
      </c>
      <c r="T28" s="1198">
        <f>$G$77</f>
        <v>52.056100000000001</v>
      </c>
      <c r="U28" s="1198">
        <f>$G$81</f>
        <v>0</v>
      </c>
      <c r="V28" s="1198">
        <f>$G$85</f>
        <v>25.139100000000003</v>
      </c>
      <c r="W28" s="1198">
        <f>$G$89</f>
        <v>0</v>
      </c>
      <c r="X28" s="1198">
        <f>$G$93</f>
        <v>0</v>
      </c>
      <c r="Y28" s="1199">
        <f>(F28)*$E$123</f>
        <v>150.83459999999999</v>
      </c>
      <c r="Z28" s="1200">
        <f>IF(($E$121*$E$125*G28)-Y28&lt;0,0,($E$121*$E$125*G28)-Y28)</f>
        <v>108.76540000000003</v>
      </c>
      <c r="AA28" s="1198">
        <f>$G$97</f>
        <v>0</v>
      </c>
    </row>
    <row r="29" spans="1:27" s="1201" customFormat="1" ht="15.75">
      <c r="A29" s="1190">
        <v>25</v>
      </c>
      <c r="B29" s="1190" t="s">
        <v>119</v>
      </c>
      <c r="C29" s="1196" t="s">
        <v>48</v>
      </c>
      <c r="D29" s="1197" t="s">
        <v>120</v>
      </c>
      <c r="E29" s="1197" t="s">
        <v>33</v>
      </c>
      <c r="F29" s="1156">
        <v>2513.91</v>
      </c>
      <c r="G29" s="690">
        <v>4.5</v>
      </c>
      <c r="H29" s="1157">
        <v>0.05</v>
      </c>
      <c r="I29" s="1158" t="s">
        <v>104</v>
      </c>
      <c r="J29" s="1159" t="s">
        <v>121</v>
      </c>
      <c r="K29" s="1158" t="s">
        <v>106</v>
      </c>
      <c r="L29" s="1159" t="s">
        <v>107</v>
      </c>
      <c r="M29" s="1160" t="s">
        <v>38</v>
      </c>
      <c r="N29" s="1160" t="s">
        <v>39</v>
      </c>
      <c r="O29" s="1159" t="s">
        <v>108</v>
      </c>
      <c r="P29" s="1198">
        <f>$G$61</f>
        <v>0</v>
      </c>
      <c r="Q29" s="1198">
        <f>$G$65</f>
        <v>427.5</v>
      </c>
      <c r="R29" s="1198">
        <f>$G$69</f>
        <v>348.48</v>
      </c>
      <c r="S29" s="1198">
        <f>$G$73</f>
        <v>20.32</v>
      </c>
      <c r="T29" s="1198">
        <f>$G$77</f>
        <v>52.056100000000001</v>
      </c>
      <c r="U29" s="1198">
        <f>$G$81</f>
        <v>0</v>
      </c>
      <c r="V29" s="1198">
        <f>$G$85</f>
        <v>25.139100000000003</v>
      </c>
      <c r="W29" s="1198">
        <f>$G$89</f>
        <v>0</v>
      </c>
      <c r="X29" s="1198">
        <f>$G$93</f>
        <v>0</v>
      </c>
      <c r="Y29" s="1199">
        <f>(F29)*$E$123</f>
        <v>150.83459999999999</v>
      </c>
      <c r="Z29" s="1200">
        <f>IF(($E$121*$E$125*G29)-Y29&lt;0,0,($E$121*$E$125*G29)-Y29)</f>
        <v>47.165400000000005</v>
      </c>
      <c r="AA29" s="1198">
        <f>$G$97</f>
        <v>0</v>
      </c>
    </row>
    <row r="30" spans="1:27" s="1201" customFormat="1" ht="15.75">
      <c r="A30" s="1190">
        <v>26</v>
      </c>
      <c r="B30" s="1190" t="s">
        <v>122</v>
      </c>
      <c r="C30" s="1196" t="s">
        <v>48</v>
      </c>
      <c r="D30" s="1197" t="s">
        <v>123</v>
      </c>
      <c r="E30" s="1197" t="s">
        <v>33</v>
      </c>
      <c r="F30" s="1156">
        <v>2513.91</v>
      </c>
      <c r="G30" s="690">
        <v>2.9</v>
      </c>
      <c r="H30" s="1157">
        <v>0.03</v>
      </c>
      <c r="I30" s="1158" t="s">
        <v>104</v>
      </c>
      <c r="J30" s="1159" t="s">
        <v>124</v>
      </c>
      <c r="K30" s="1158" t="s">
        <v>106</v>
      </c>
      <c r="L30" s="1159" t="s">
        <v>107</v>
      </c>
      <c r="M30" s="1160" t="s">
        <v>38</v>
      </c>
      <c r="N30" s="1160" t="s">
        <v>39</v>
      </c>
      <c r="O30" s="1159" t="s">
        <v>108</v>
      </c>
      <c r="P30" s="1198">
        <f>$G$61</f>
        <v>0</v>
      </c>
      <c r="Q30" s="1198">
        <f>$G$65</f>
        <v>427.5</v>
      </c>
      <c r="R30" s="1198">
        <f>$G$69</f>
        <v>348.48</v>
      </c>
      <c r="S30" s="1198">
        <f>$G$73</f>
        <v>20.32</v>
      </c>
      <c r="T30" s="1198">
        <f>$G$77</f>
        <v>52.056100000000001</v>
      </c>
      <c r="U30" s="1198">
        <f>$G$81</f>
        <v>0</v>
      </c>
      <c r="V30" s="1198">
        <f>$G$85</f>
        <v>25.139100000000003</v>
      </c>
      <c r="W30" s="1198">
        <f>$G$89</f>
        <v>0</v>
      </c>
      <c r="X30" s="1198">
        <f>$G$93</f>
        <v>0</v>
      </c>
      <c r="Y30" s="1199">
        <f>(F30)*$E$123</f>
        <v>150.83459999999999</v>
      </c>
      <c r="Z30" s="1200">
        <f>IF(($E$122*$E$125*G30)-Y30&lt;0,0,($E$122*$E$125*G30)-Y30)</f>
        <v>104.36539999999999</v>
      </c>
      <c r="AA30" s="1198">
        <f>$G$97</f>
        <v>0</v>
      </c>
    </row>
    <row r="31" spans="1:27" s="1201" customFormat="1" ht="15.75">
      <c r="A31" s="1190">
        <v>27</v>
      </c>
      <c r="B31" s="1190" t="s">
        <v>125</v>
      </c>
      <c r="C31" s="1196" t="s">
        <v>48</v>
      </c>
      <c r="D31" s="1197" t="s">
        <v>126</v>
      </c>
      <c r="E31" s="1197" t="s">
        <v>33</v>
      </c>
      <c r="F31" s="1156">
        <v>2513.91</v>
      </c>
      <c r="G31" s="690">
        <v>5.75</v>
      </c>
      <c r="H31" s="1157">
        <v>0.03</v>
      </c>
      <c r="I31" s="1158" t="s">
        <v>104</v>
      </c>
      <c r="J31" s="1159" t="s">
        <v>127</v>
      </c>
      <c r="K31" s="1158" t="s">
        <v>106</v>
      </c>
      <c r="L31" s="1159" t="s">
        <v>107</v>
      </c>
      <c r="M31" s="1160" t="s">
        <v>38</v>
      </c>
      <c r="N31" s="1160" t="s">
        <v>39</v>
      </c>
      <c r="O31" s="1159" t="s">
        <v>108</v>
      </c>
      <c r="P31" s="1198">
        <f>$G$61</f>
        <v>0</v>
      </c>
      <c r="Q31" s="1198">
        <f>$G$65</f>
        <v>427.5</v>
      </c>
      <c r="R31" s="1198">
        <f>$G$69</f>
        <v>348.48</v>
      </c>
      <c r="S31" s="1198">
        <f>$G$73</f>
        <v>20.32</v>
      </c>
      <c r="T31" s="1198">
        <f>$G$77</f>
        <v>52.056100000000001</v>
      </c>
      <c r="U31" s="1198">
        <f>$G$81</f>
        <v>0</v>
      </c>
      <c r="V31" s="1198">
        <f>$G$85</f>
        <v>25.139100000000003</v>
      </c>
      <c r="W31" s="1198">
        <f>$G$89</f>
        <v>0</v>
      </c>
      <c r="X31" s="1198">
        <f>$G$93</f>
        <v>0</v>
      </c>
      <c r="Y31" s="1199">
        <f>(F31)*$E$123</f>
        <v>150.83459999999999</v>
      </c>
      <c r="Z31" s="1200">
        <f>IF(($E$121*$E$125*G31)-Y31&lt;0,0,($E$121*$E$125*G31)-Y31)</f>
        <v>102.16540000000001</v>
      </c>
      <c r="AA31" s="1198">
        <f>$G$97</f>
        <v>0</v>
      </c>
    </row>
    <row r="32" spans="1:27" s="1201" customFormat="1" ht="15.75">
      <c r="A32" s="1190">
        <v>28</v>
      </c>
      <c r="B32" s="1190" t="s">
        <v>128</v>
      </c>
      <c r="C32" s="1196" t="s">
        <v>48</v>
      </c>
      <c r="D32" s="1197" t="s">
        <v>129</v>
      </c>
      <c r="E32" s="1197" t="s">
        <v>33</v>
      </c>
      <c r="F32" s="1156">
        <v>2513.91</v>
      </c>
      <c r="G32" s="690">
        <v>5.9</v>
      </c>
      <c r="H32" s="1157">
        <v>0.05</v>
      </c>
      <c r="I32" s="1158" t="s">
        <v>104</v>
      </c>
      <c r="J32" s="1159" t="s">
        <v>130</v>
      </c>
      <c r="K32" s="1158" t="s">
        <v>106</v>
      </c>
      <c r="L32" s="1159" t="s">
        <v>107</v>
      </c>
      <c r="M32" s="1160" t="s">
        <v>38</v>
      </c>
      <c r="N32" s="1160" t="s">
        <v>39</v>
      </c>
      <c r="O32" s="1159" t="s">
        <v>108</v>
      </c>
      <c r="P32" s="1198">
        <f>$G$61</f>
        <v>0</v>
      </c>
      <c r="Q32" s="1198">
        <f>$G$65</f>
        <v>427.5</v>
      </c>
      <c r="R32" s="1198">
        <f>$G$69</f>
        <v>348.48</v>
      </c>
      <c r="S32" s="1198">
        <f>$G$73</f>
        <v>20.32</v>
      </c>
      <c r="T32" s="1198">
        <f>$G$77</f>
        <v>52.056100000000001</v>
      </c>
      <c r="U32" s="1198">
        <f>$G$81</f>
        <v>0</v>
      </c>
      <c r="V32" s="1198">
        <f>$G$85</f>
        <v>25.139100000000003</v>
      </c>
      <c r="W32" s="1198">
        <f>$G$89</f>
        <v>0</v>
      </c>
      <c r="X32" s="1198">
        <f>$G$93</f>
        <v>0</v>
      </c>
      <c r="Y32" s="1199">
        <f>(F32)*$E$123</f>
        <v>150.83459999999999</v>
      </c>
      <c r="Z32" s="1200">
        <f>IF(($E$121*$E$125*G32)-Y32&lt;0,0,($E$121*$E$125*G32)-Y32)</f>
        <v>108.76540000000003</v>
      </c>
      <c r="AA32" s="1198">
        <f>$G$97</f>
        <v>0</v>
      </c>
    </row>
    <row r="33" spans="1:27" s="1201" customFormat="1" ht="15.75">
      <c r="A33" s="1190">
        <v>29</v>
      </c>
      <c r="B33" s="1190" t="s">
        <v>131</v>
      </c>
      <c r="C33" s="1196" t="s">
        <v>48</v>
      </c>
      <c r="D33" s="1197" t="s">
        <v>132</v>
      </c>
      <c r="E33" s="1197" t="s">
        <v>33</v>
      </c>
      <c r="F33" s="1156">
        <v>2513.91</v>
      </c>
      <c r="G33" s="690">
        <v>5</v>
      </c>
      <c r="H33" s="1157">
        <v>0.05</v>
      </c>
      <c r="I33" s="1158" t="s">
        <v>104</v>
      </c>
      <c r="J33" s="1159" t="s">
        <v>133</v>
      </c>
      <c r="K33" s="1158" t="s">
        <v>106</v>
      </c>
      <c r="L33" s="1159" t="s">
        <v>107</v>
      </c>
      <c r="M33" s="1160" t="s">
        <v>38</v>
      </c>
      <c r="N33" s="1160" t="s">
        <v>39</v>
      </c>
      <c r="O33" s="1159" t="s">
        <v>108</v>
      </c>
      <c r="P33" s="1198">
        <f>$G$61</f>
        <v>0</v>
      </c>
      <c r="Q33" s="1198">
        <f>$G$65</f>
        <v>427.5</v>
      </c>
      <c r="R33" s="1198">
        <f>$G$69</f>
        <v>348.48</v>
      </c>
      <c r="S33" s="1198">
        <f>$G$73</f>
        <v>20.32</v>
      </c>
      <c r="T33" s="1198">
        <f>$G$77</f>
        <v>52.056100000000001</v>
      </c>
      <c r="U33" s="1198">
        <f>$G$81</f>
        <v>0</v>
      </c>
      <c r="V33" s="1198">
        <f>$G$85</f>
        <v>25.139100000000003</v>
      </c>
      <c r="W33" s="1198">
        <f>$G$89</f>
        <v>0</v>
      </c>
      <c r="X33" s="1198">
        <f>$G$93</f>
        <v>0</v>
      </c>
      <c r="Y33" s="1199">
        <f>(F33)*$E$123</f>
        <v>150.83459999999999</v>
      </c>
      <c r="Z33" s="1200">
        <f>IF(($E$121*$E$125*G33)-Y33&lt;0,0,($E$121*$E$125*G33)-Y33)</f>
        <v>69.165400000000005</v>
      </c>
      <c r="AA33" s="1198">
        <f>$G$97</f>
        <v>0</v>
      </c>
    </row>
    <row r="34" spans="1:27" s="1201" customFormat="1" ht="15.75">
      <c r="A34" s="1190">
        <v>30</v>
      </c>
      <c r="B34" s="1190" t="s">
        <v>134</v>
      </c>
      <c r="C34" s="1196" t="s">
        <v>48</v>
      </c>
      <c r="D34" s="1197" t="s">
        <v>135</v>
      </c>
      <c r="E34" s="1197" t="s">
        <v>33</v>
      </c>
      <c r="F34" s="1156">
        <v>2513.91</v>
      </c>
      <c r="G34" s="690">
        <v>6</v>
      </c>
      <c r="H34" s="1157">
        <v>0.02</v>
      </c>
      <c r="I34" s="1158" t="s">
        <v>104</v>
      </c>
      <c r="J34" s="1159" t="s">
        <v>136</v>
      </c>
      <c r="K34" s="1158" t="s">
        <v>106</v>
      </c>
      <c r="L34" s="1159" t="s">
        <v>107</v>
      </c>
      <c r="M34" s="1160" t="s">
        <v>38</v>
      </c>
      <c r="N34" s="1160" t="s">
        <v>39</v>
      </c>
      <c r="O34" s="1159" t="s">
        <v>108</v>
      </c>
      <c r="P34" s="1198">
        <f>$G$61</f>
        <v>0</v>
      </c>
      <c r="Q34" s="1198">
        <f>$G$65</f>
        <v>427.5</v>
      </c>
      <c r="R34" s="1198">
        <f>$G$69</f>
        <v>348.48</v>
      </c>
      <c r="S34" s="1198">
        <f>$G$73</f>
        <v>20.32</v>
      </c>
      <c r="T34" s="1198">
        <f>$G$77</f>
        <v>52.056100000000001</v>
      </c>
      <c r="U34" s="1198">
        <f>$G$81</f>
        <v>0</v>
      </c>
      <c r="V34" s="1198">
        <f>$G$85</f>
        <v>25.139100000000003</v>
      </c>
      <c r="W34" s="1198">
        <f>$G$89</f>
        <v>0</v>
      </c>
      <c r="X34" s="1198">
        <f>$G$93</f>
        <v>0</v>
      </c>
      <c r="Y34" s="1199">
        <f>(F34)*$E$123</f>
        <v>150.83459999999999</v>
      </c>
      <c r="Z34" s="1200">
        <f>IF(($E$121*$E$125*G34)-Y34&lt;0,0,($E$121*$E$125*G34)-Y34)</f>
        <v>113.16540000000001</v>
      </c>
      <c r="AA34" s="1198">
        <f>$G$97</f>
        <v>0</v>
      </c>
    </row>
    <row r="35" spans="1:27" s="1201" customFormat="1" ht="15.75">
      <c r="A35" s="1190">
        <v>31</v>
      </c>
      <c r="B35" s="1190" t="s">
        <v>137</v>
      </c>
      <c r="C35" s="1196" t="s">
        <v>48</v>
      </c>
      <c r="D35" s="1197" t="s">
        <v>138</v>
      </c>
      <c r="E35" s="1197" t="s">
        <v>33</v>
      </c>
      <c r="F35" s="1156">
        <v>2513.91</v>
      </c>
      <c r="G35" s="690">
        <v>6.5</v>
      </c>
      <c r="H35" s="1157">
        <v>0.05</v>
      </c>
      <c r="I35" s="1158" t="s">
        <v>104</v>
      </c>
      <c r="J35" s="1159" t="s">
        <v>139</v>
      </c>
      <c r="K35" s="1158" t="s">
        <v>106</v>
      </c>
      <c r="L35" s="1159" t="s">
        <v>107</v>
      </c>
      <c r="M35" s="1160" t="s">
        <v>38</v>
      </c>
      <c r="N35" s="1160" t="s">
        <v>39</v>
      </c>
      <c r="O35" s="1159" t="s">
        <v>108</v>
      </c>
      <c r="P35" s="1198">
        <f>$G$61</f>
        <v>0</v>
      </c>
      <c r="Q35" s="1198">
        <f>$G$65</f>
        <v>427.5</v>
      </c>
      <c r="R35" s="1198">
        <f>$G$69</f>
        <v>348.48</v>
      </c>
      <c r="S35" s="1198">
        <f>$G$73</f>
        <v>20.32</v>
      </c>
      <c r="T35" s="1198">
        <f>$G$77</f>
        <v>52.056100000000001</v>
      </c>
      <c r="U35" s="1198">
        <f>$G$81</f>
        <v>0</v>
      </c>
      <c r="V35" s="1198">
        <f>$G$85</f>
        <v>25.139100000000003</v>
      </c>
      <c r="W35" s="1198">
        <f>$G$89</f>
        <v>0</v>
      </c>
      <c r="X35" s="1198">
        <f>$G$93</f>
        <v>0</v>
      </c>
      <c r="Y35" s="1199">
        <f>(F35)*$E$123</f>
        <v>150.83459999999999</v>
      </c>
      <c r="Z35" s="1200">
        <f>IF(($E$121*$E$125*G35)-Y35&lt;0,0,($E$121*$E$125*G35)-Y35)</f>
        <v>135.16540000000001</v>
      </c>
      <c r="AA35" s="1198">
        <f>$G$97</f>
        <v>0</v>
      </c>
    </row>
    <row r="36" spans="1:27" s="1201" customFormat="1" ht="15.75">
      <c r="A36" s="1190">
        <v>32</v>
      </c>
      <c r="B36" s="1190" t="s">
        <v>140</v>
      </c>
      <c r="C36" s="1196" t="s">
        <v>48</v>
      </c>
      <c r="D36" s="1197" t="s">
        <v>141</v>
      </c>
      <c r="E36" s="1197" t="s">
        <v>33</v>
      </c>
      <c r="F36" s="1156">
        <v>2513.91</v>
      </c>
      <c r="G36" s="690">
        <v>5.2</v>
      </c>
      <c r="H36" s="1157">
        <v>0.03</v>
      </c>
      <c r="I36" s="1158" t="s">
        <v>104</v>
      </c>
      <c r="J36" s="1159" t="s">
        <v>142</v>
      </c>
      <c r="K36" s="1158" t="s">
        <v>106</v>
      </c>
      <c r="L36" s="1159" t="s">
        <v>107</v>
      </c>
      <c r="M36" s="1160" t="s">
        <v>38</v>
      </c>
      <c r="N36" s="1160" t="s">
        <v>39</v>
      </c>
      <c r="O36" s="1159" t="s">
        <v>108</v>
      </c>
      <c r="P36" s="1198">
        <f>$G$61</f>
        <v>0</v>
      </c>
      <c r="Q36" s="1198">
        <f>$G$65</f>
        <v>427.5</v>
      </c>
      <c r="R36" s="1198">
        <f>$G$69</f>
        <v>348.48</v>
      </c>
      <c r="S36" s="1198">
        <f>$G$73</f>
        <v>20.32</v>
      </c>
      <c r="T36" s="1198">
        <f>$G$77</f>
        <v>52.056100000000001</v>
      </c>
      <c r="U36" s="1198">
        <f>$G$81</f>
        <v>0</v>
      </c>
      <c r="V36" s="1198">
        <f>$G$85</f>
        <v>25.139100000000003</v>
      </c>
      <c r="W36" s="1198">
        <f>$G$89</f>
        <v>0</v>
      </c>
      <c r="X36" s="1198">
        <f>$G$93</f>
        <v>0</v>
      </c>
      <c r="Y36" s="1199">
        <f>(F36)*$E$123</f>
        <v>150.83459999999999</v>
      </c>
      <c r="Z36" s="1200">
        <f>IF(($E$121*$E$125*G36)-Y36&lt;0,0,($E$121*$E$125*G36)-Y36)</f>
        <v>77.965400000000017</v>
      </c>
      <c r="AA36" s="1198">
        <f>$G$97</f>
        <v>0</v>
      </c>
    </row>
    <row r="37" spans="1:27" s="1201" customFormat="1" ht="15.75">
      <c r="A37" s="1190">
        <v>33</v>
      </c>
      <c r="B37" s="1190" t="s">
        <v>143</v>
      </c>
      <c r="C37" s="1196" t="s">
        <v>48</v>
      </c>
      <c r="D37" s="1197" t="s">
        <v>144</v>
      </c>
      <c r="E37" s="1197" t="s">
        <v>33</v>
      </c>
      <c r="F37" s="1156">
        <v>2513.91</v>
      </c>
      <c r="G37" s="690">
        <v>5.9</v>
      </c>
      <c r="H37" s="1157">
        <v>0.05</v>
      </c>
      <c r="I37" s="1158" t="s">
        <v>104</v>
      </c>
      <c r="J37" s="1159" t="s">
        <v>145</v>
      </c>
      <c r="K37" s="1158" t="s">
        <v>106</v>
      </c>
      <c r="L37" s="1159" t="s">
        <v>107</v>
      </c>
      <c r="M37" s="1160" t="s">
        <v>38</v>
      </c>
      <c r="N37" s="1160" t="s">
        <v>39</v>
      </c>
      <c r="O37" s="1159" t="s">
        <v>108</v>
      </c>
      <c r="P37" s="1198">
        <f>$G$61</f>
        <v>0</v>
      </c>
      <c r="Q37" s="1198">
        <f>$G$65</f>
        <v>427.5</v>
      </c>
      <c r="R37" s="1198">
        <f>$G$69</f>
        <v>348.48</v>
      </c>
      <c r="S37" s="1198">
        <f>$G$73</f>
        <v>20.32</v>
      </c>
      <c r="T37" s="1198">
        <f>$G$77</f>
        <v>52.056100000000001</v>
      </c>
      <c r="U37" s="1198">
        <f>$G$81</f>
        <v>0</v>
      </c>
      <c r="V37" s="1198">
        <f>$G$85</f>
        <v>25.139100000000003</v>
      </c>
      <c r="W37" s="1198">
        <f>$G$89</f>
        <v>0</v>
      </c>
      <c r="X37" s="1198">
        <f>$G$93</f>
        <v>0</v>
      </c>
      <c r="Y37" s="1199">
        <f>(F37)*$E$123</f>
        <v>150.83459999999999</v>
      </c>
      <c r="Z37" s="1200">
        <f>IF(($E$121*$E$125*G37)-Y37&lt;0,0,($E$121*$E$125*G37)-Y37)</f>
        <v>108.76540000000003</v>
      </c>
      <c r="AA37" s="1198">
        <f>$G$97</f>
        <v>0</v>
      </c>
    </row>
    <row r="38" spans="1:27" s="1201" customFormat="1" ht="15.75">
      <c r="A38" s="1190">
        <v>34</v>
      </c>
      <c r="B38" s="1190" t="s">
        <v>146</v>
      </c>
      <c r="C38" s="1196" t="s">
        <v>48</v>
      </c>
      <c r="D38" s="1197" t="s">
        <v>147</v>
      </c>
      <c r="E38" s="1197" t="s">
        <v>33</v>
      </c>
      <c r="F38" s="1156">
        <v>2513.91</v>
      </c>
      <c r="G38" s="690">
        <v>4.5</v>
      </c>
      <c r="H38" s="1157">
        <v>0.05</v>
      </c>
      <c r="I38" s="1158" t="s">
        <v>104</v>
      </c>
      <c r="J38" s="1159" t="s">
        <v>148</v>
      </c>
      <c r="K38" s="1158" t="s">
        <v>106</v>
      </c>
      <c r="L38" s="1159" t="s">
        <v>107</v>
      </c>
      <c r="M38" s="1160" t="s">
        <v>38</v>
      </c>
      <c r="N38" s="1160" t="s">
        <v>39</v>
      </c>
      <c r="O38" s="1159" t="s">
        <v>108</v>
      </c>
      <c r="P38" s="1198">
        <f>$G$61</f>
        <v>0</v>
      </c>
      <c r="Q38" s="1198">
        <f>$G$65</f>
        <v>427.5</v>
      </c>
      <c r="R38" s="1198">
        <f>$G$69</f>
        <v>348.48</v>
      </c>
      <c r="S38" s="1198">
        <f>$G$73</f>
        <v>20.32</v>
      </c>
      <c r="T38" s="1198">
        <f>$G$77</f>
        <v>52.056100000000001</v>
      </c>
      <c r="U38" s="1198">
        <f>$G$81</f>
        <v>0</v>
      </c>
      <c r="V38" s="1198">
        <f>$G$85</f>
        <v>25.139100000000003</v>
      </c>
      <c r="W38" s="1198">
        <f>$G$89</f>
        <v>0</v>
      </c>
      <c r="X38" s="1198">
        <f>$G$93</f>
        <v>0</v>
      </c>
      <c r="Y38" s="1199">
        <f>(F38)*$E$123</f>
        <v>150.83459999999999</v>
      </c>
      <c r="Z38" s="1200">
        <f>IF(($E$121*$E$125*G38)-Y38&lt;0,0,($E$121*$E$125*G38)-Y38)</f>
        <v>47.165400000000005</v>
      </c>
      <c r="AA38" s="1198">
        <f>$G$97</f>
        <v>0</v>
      </c>
    </row>
    <row r="39" spans="1:27" s="1201" customFormat="1" ht="15.75">
      <c r="A39" s="1190">
        <v>35</v>
      </c>
      <c r="B39" s="1204" t="s">
        <v>149</v>
      </c>
      <c r="C39" s="691" t="s">
        <v>1223</v>
      </c>
      <c r="D39" s="1197" t="s">
        <v>150</v>
      </c>
      <c r="E39" s="1197" t="s">
        <v>33</v>
      </c>
      <c r="F39" s="1156">
        <v>2513.91</v>
      </c>
      <c r="G39" s="690">
        <v>5.25</v>
      </c>
      <c r="H39" s="1157">
        <v>0.04</v>
      </c>
      <c r="I39" s="1158" t="s">
        <v>104</v>
      </c>
      <c r="J39" s="1159" t="s">
        <v>151</v>
      </c>
      <c r="K39" s="1158" t="s">
        <v>106</v>
      </c>
      <c r="L39" s="1159" t="s">
        <v>107</v>
      </c>
      <c r="M39" s="1160" t="s">
        <v>38</v>
      </c>
      <c r="N39" s="1160" t="s">
        <v>39</v>
      </c>
      <c r="O39" s="1159" t="s">
        <v>108</v>
      </c>
      <c r="P39" s="1198">
        <f>$G$61</f>
        <v>0</v>
      </c>
      <c r="Q39" s="1198">
        <f>$G$65</f>
        <v>427.5</v>
      </c>
      <c r="R39" s="1198">
        <f>$G$69</f>
        <v>348.48</v>
      </c>
      <c r="S39" s="1198">
        <f>$G$73</f>
        <v>20.32</v>
      </c>
      <c r="T39" s="1198">
        <f>$G$77</f>
        <v>52.056100000000001</v>
      </c>
      <c r="U39" s="1198">
        <f>$G$81</f>
        <v>0</v>
      </c>
      <c r="V39" s="1198">
        <f>$G$85</f>
        <v>25.139100000000003</v>
      </c>
      <c r="W39" s="1198">
        <f>$G$89</f>
        <v>0</v>
      </c>
      <c r="X39" s="1198">
        <f>$G$93</f>
        <v>0</v>
      </c>
      <c r="Y39" s="1199">
        <f>(F39)*$E$123</f>
        <v>150.83459999999999</v>
      </c>
      <c r="Z39" s="1200">
        <f>IF(($E$121*$E$125*G39)-Y39&lt;0,0,($E$121*$E$125*G39)-Y39)</f>
        <v>80.165400000000005</v>
      </c>
      <c r="AA39" s="1198">
        <f>$G$97</f>
        <v>0</v>
      </c>
    </row>
    <row r="40" spans="1:27" s="1201" customFormat="1" ht="15.75">
      <c r="A40" s="1190">
        <v>36</v>
      </c>
      <c r="B40" s="1204" t="s">
        <v>149</v>
      </c>
      <c r="C40" s="1196" t="s">
        <v>48</v>
      </c>
      <c r="D40" s="1197" t="s">
        <v>152</v>
      </c>
      <c r="E40" s="1197" t="s">
        <v>33</v>
      </c>
      <c r="F40" s="1156">
        <v>2513.91</v>
      </c>
      <c r="G40" s="690">
        <v>5.25</v>
      </c>
      <c r="H40" s="1157">
        <v>0.04</v>
      </c>
      <c r="I40" s="1158" t="s">
        <v>104</v>
      </c>
      <c r="J40" s="1159" t="s">
        <v>153</v>
      </c>
      <c r="K40" s="1158" t="s">
        <v>106</v>
      </c>
      <c r="L40" s="1159" t="s">
        <v>107</v>
      </c>
      <c r="M40" s="1160" t="s">
        <v>38</v>
      </c>
      <c r="N40" s="1160" t="s">
        <v>39</v>
      </c>
      <c r="O40" s="1159" t="s">
        <v>108</v>
      </c>
      <c r="P40" s="1198">
        <f>$G$61</f>
        <v>0</v>
      </c>
      <c r="Q40" s="1198">
        <f>$G$65</f>
        <v>427.5</v>
      </c>
      <c r="R40" s="1198">
        <f>$G$69</f>
        <v>348.48</v>
      </c>
      <c r="S40" s="1198">
        <f>$G$73</f>
        <v>20.32</v>
      </c>
      <c r="T40" s="1198">
        <f>$G$77</f>
        <v>52.056100000000001</v>
      </c>
      <c r="U40" s="1198">
        <f>$G$81</f>
        <v>0</v>
      </c>
      <c r="V40" s="1198">
        <f>$G$85</f>
        <v>25.139100000000003</v>
      </c>
      <c r="W40" s="1198">
        <f>$G$89</f>
        <v>0</v>
      </c>
      <c r="X40" s="1198">
        <f>$G$93</f>
        <v>0</v>
      </c>
      <c r="Y40" s="1199">
        <f>(F40)*$E$123</f>
        <v>150.83459999999999</v>
      </c>
      <c r="Z40" s="1200">
        <f>IF(($E$121*$E$125*G40)-Y40&lt;0,0,($E$121*$E$125*G40)-Y40)</f>
        <v>80.165400000000005</v>
      </c>
      <c r="AA40" s="1198">
        <f>$G$97</f>
        <v>0</v>
      </c>
    </row>
    <row r="41" spans="1:27" ht="23.25" customHeight="1">
      <c r="U41" s="1188"/>
    </row>
    <row r="42" spans="1:27" s="1186" customFormat="1" ht="23.25" customHeight="1">
      <c r="C42" s="1205"/>
      <c r="D42" s="1205"/>
      <c r="E42" s="1205"/>
      <c r="F42" s="1205"/>
      <c r="G42" s="1205"/>
    </row>
    <row r="43" spans="1:27" s="1186" customFormat="1" ht="23.25" customHeight="1">
      <c r="B43" s="1206" t="s">
        <v>154</v>
      </c>
      <c r="C43" s="1207"/>
      <c r="D43" s="1207"/>
      <c r="E43" s="1207"/>
      <c r="F43" s="1207"/>
      <c r="G43" s="1208"/>
    </row>
    <row r="44" spans="1:27" s="1186" customFormat="1" ht="32.25" customHeight="1">
      <c r="B44" s="1209" t="s">
        <v>155</v>
      </c>
      <c r="C44" s="1210"/>
      <c r="D44" s="1210"/>
      <c r="E44" s="1210"/>
      <c r="F44" s="1211"/>
      <c r="G44" s="1212" t="s">
        <v>156</v>
      </c>
    </row>
    <row r="45" spans="1:27" s="1186" customFormat="1" ht="23.25" customHeight="1">
      <c r="B45" s="1213" t="s">
        <v>157</v>
      </c>
      <c r="C45" s="1214" t="s">
        <v>158</v>
      </c>
      <c r="D45" s="1215"/>
      <c r="E45" s="1215"/>
      <c r="F45" s="1215"/>
      <c r="G45" s="1162">
        <v>0.2</v>
      </c>
    </row>
    <row r="46" spans="1:27" s="1186" customFormat="1" ht="23.25" customHeight="1">
      <c r="B46" s="1216" t="s">
        <v>159</v>
      </c>
      <c r="C46" s="1214" t="s">
        <v>160</v>
      </c>
      <c r="D46" s="1215"/>
      <c r="E46" s="1215"/>
      <c r="F46" s="1215"/>
      <c r="G46" s="1162">
        <v>2.5000000000000001E-2</v>
      </c>
    </row>
    <row r="47" spans="1:27" s="1186" customFormat="1" ht="23.25" customHeight="1">
      <c r="B47" s="1217" t="s">
        <v>161</v>
      </c>
      <c r="C47" s="1218" t="s">
        <v>162</v>
      </c>
      <c r="D47" s="1219" t="s">
        <v>163</v>
      </c>
      <c r="F47" s="1163">
        <v>0.03</v>
      </c>
      <c r="G47" s="1220">
        <f>F47*F48</f>
        <v>0.03</v>
      </c>
    </row>
    <row r="48" spans="1:27" s="1186" customFormat="1" ht="23.25" customHeight="1">
      <c r="B48" s="1221"/>
      <c r="C48" s="1222"/>
      <c r="D48" s="1223" t="s">
        <v>164</v>
      </c>
      <c r="F48" s="1164">
        <v>1</v>
      </c>
      <c r="G48" s="1224"/>
      <c r="H48" s="1188"/>
    </row>
    <row r="49" spans="2:58" s="1186" customFormat="1" ht="23.25" customHeight="1">
      <c r="B49" s="1216" t="s">
        <v>165</v>
      </c>
      <c r="C49" s="1225" t="s">
        <v>166</v>
      </c>
      <c r="D49" s="1226"/>
      <c r="E49" s="1226"/>
      <c r="F49" s="1226"/>
      <c r="G49" s="1162">
        <v>1.4999999999999999E-2</v>
      </c>
      <c r="H49" s="1188"/>
    </row>
    <row r="50" spans="2:58" s="1186" customFormat="1" ht="23.25" customHeight="1">
      <c r="B50" s="1216" t="s">
        <v>167</v>
      </c>
      <c r="C50" s="1225" t="s">
        <v>168</v>
      </c>
      <c r="D50" s="1226"/>
      <c r="E50" s="1226"/>
      <c r="F50" s="1226"/>
      <c r="G50" s="1162">
        <v>0.01</v>
      </c>
      <c r="H50" s="1188"/>
    </row>
    <row r="51" spans="2:58" s="1186" customFormat="1" ht="23.25" customHeight="1">
      <c r="B51" s="1216" t="s">
        <v>169</v>
      </c>
      <c r="C51" s="1225" t="s">
        <v>170</v>
      </c>
      <c r="D51" s="1226"/>
      <c r="E51" s="1226"/>
      <c r="F51" s="1226"/>
      <c r="G51" s="1162">
        <v>6.0000000000000001E-3</v>
      </c>
    </row>
    <row r="52" spans="2:58" s="1186" customFormat="1" ht="23.25" customHeight="1">
      <c r="B52" s="1216" t="s">
        <v>171</v>
      </c>
      <c r="C52" s="1225" t="s">
        <v>172</v>
      </c>
      <c r="D52" s="1226"/>
      <c r="E52" s="1226"/>
      <c r="F52" s="1226"/>
      <c r="G52" s="1162">
        <v>2E-3</v>
      </c>
    </row>
    <row r="53" spans="2:58" s="1186" customFormat="1" ht="23.25" customHeight="1">
      <c r="B53" s="1227" t="s">
        <v>173</v>
      </c>
      <c r="C53" s="1225" t="s">
        <v>174</v>
      </c>
      <c r="D53" s="1226"/>
      <c r="E53" s="1226"/>
      <c r="F53" s="1226"/>
      <c r="G53" s="1162">
        <v>0.08</v>
      </c>
    </row>
    <row r="54" spans="2:58" s="1186" customFormat="1" ht="23.25" customHeight="1">
      <c r="B54" s="1228" t="s">
        <v>175</v>
      </c>
      <c r="C54" s="1211"/>
      <c r="D54" s="1211"/>
      <c r="E54" s="1211"/>
      <c r="F54" s="1229"/>
      <c r="G54" s="1165">
        <f t="shared" ref="G54" si="9">SUM(G45:G53)</f>
        <v>0.36800000000000005</v>
      </c>
    </row>
    <row r="55" spans="2:58" s="1186" customFormat="1" ht="23.25" customHeight="1">
      <c r="C55" s="1205"/>
      <c r="D55" s="1205"/>
      <c r="E55" s="1205"/>
      <c r="F55" s="1205"/>
      <c r="G55" s="1205"/>
    </row>
    <row r="56" spans="2:58" ht="23.25" customHeight="1">
      <c r="H56" s="1186"/>
      <c r="N56" s="1186"/>
      <c r="O56" s="1186"/>
      <c r="P56" s="1186"/>
      <c r="Q56" s="1186"/>
      <c r="R56" s="1186"/>
      <c r="S56" s="1186"/>
      <c r="T56" s="1186"/>
      <c r="U56" s="1186"/>
      <c r="V56" s="1186"/>
      <c r="W56" s="1186"/>
      <c r="X56" s="1186"/>
      <c r="Y56" s="1186"/>
      <c r="Z56" s="1186"/>
      <c r="AA56" s="1186"/>
      <c r="AB56" s="1186"/>
      <c r="AC56" s="1186"/>
      <c r="AD56" s="1186"/>
      <c r="AE56" s="1186"/>
      <c r="AF56" s="1186"/>
      <c r="AG56" s="1186"/>
      <c r="AH56" s="1186"/>
      <c r="AI56" s="1186"/>
      <c r="AJ56" s="1186"/>
      <c r="AK56" s="1186"/>
      <c r="AL56" s="1186"/>
      <c r="AM56" s="1186"/>
      <c r="AN56" s="1186"/>
      <c r="AO56" s="1186"/>
      <c r="AP56" s="1186"/>
      <c r="AQ56" s="1186"/>
      <c r="AR56" s="1186"/>
      <c r="AS56" s="1186"/>
      <c r="AT56" s="1186"/>
      <c r="AU56" s="1186"/>
      <c r="AV56" s="1186"/>
      <c r="AW56" s="1186"/>
      <c r="AX56" s="1186"/>
      <c r="AY56" s="1186"/>
      <c r="AZ56" s="1186"/>
      <c r="BA56" s="1186"/>
      <c r="BB56" s="1186"/>
      <c r="BC56" s="1186"/>
      <c r="BD56" s="1186"/>
      <c r="BE56" s="1186"/>
    </row>
    <row r="57" spans="2:58" s="1187" customFormat="1" ht="23.25" customHeight="1">
      <c r="B57" s="1209" t="s">
        <v>176</v>
      </c>
      <c r="C57" s="1230"/>
      <c r="D57" s="1230"/>
      <c r="E57" s="1230"/>
      <c r="F57" s="1230"/>
      <c r="G57" s="1231"/>
      <c r="I57" s="1232"/>
      <c r="N57" s="1186"/>
      <c r="O57" s="1186"/>
      <c r="P57" s="1186"/>
      <c r="Q57" s="1186"/>
      <c r="R57" s="1186"/>
      <c r="S57" s="1186"/>
      <c r="T57" s="1186"/>
      <c r="U57" s="1186"/>
      <c r="V57" s="1186"/>
      <c r="W57" s="1186"/>
      <c r="X57" s="1186"/>
      <c r="Y57" s="1186"/>
      <c r="Z57" s="1186"/>
      <c r="AA57" s="1186"/>
      <c r="AB57" s="1186"/>
      <c r="AC57" s="1186"/>
      <c r="AD57" s="1186"/>
      <c r="AE57" s="1186"/>
      <c r="AF57" s="1186"/>
      <c r="AG57" s="1186"/>
      <c r="AH57" s="1186"/>
      <c r="AI57" s="1186"/>
      <c r="AJ57" s="1186"/>
      <c r="AK57" s="1186"/>
      <c r="AL57" s="1186"/>
      <c r="AM57" s="1186"/>
      <c r="AN57" s="1186"/>
      <c r="AO57" s="1186"/>
      <c r="AP57" s="1186"/>
      <c r="AQ57" s="1186"/>
      <c r="AR57" s="1186"/>
      <c r="AS57" s="1186"/>
      <c r="AT57" s="1186"/>
      <c r="AU57" s="1186"/>
      <c r="AV57" s="1186"/>
      <c r="AW57" s="1186"/>
      <c r="AX57" s="1186"/>
      <c r="AY57" s="1186"/>
      <c r="AZ57" s="1186"/>
      <c r="BA57" s="1186"/>
      <c r="BB57" s="1186"/>
      <c r="BC57" s="1186"/>
      <c r="BD57" s="1186"/>
      <c r="BE57" s="1186"/>
    </row>
    <row r="58" spans="2:58" s="1187" customFormat="1" ht="23.25" customHeight="1">
      <c r="B58" s="1233" t="s">
        <v>177</v>
      </c>
      <c r="C58" s="1234"/>
      <c r="D58" s="1235"/>
      <c r="E58" s="1236" t="s">
        <v>178</v>
      </c>
      <c r="F58" s="1237" t="s">
        <v>179</v>
      </c>
      <c r="G58" s="1237" t="s">
        <v>180</v>
      </c>
      <c r="H58" s="1186"/>
      <c r="I58" s="1232"/>
      <c r="O58" s="1186"/>
      <c r="P58" s="1186"/>
      <c r="Q58" s="1186"/>
      <c r="R58" s="1186"/>
      <c r="S58" s="1186"/>
      <c r="T58" s="1186"/>
      <c r="U58" s="1186"/>
      <c r="V58" s="1186"/>
      <c r="W58" s="1186"/>
      <c r="X58" s="1186"/>
      <c r="Y58" s="1186"/>
      <c r="Z58" s="1186"/>
      <c r="AA58" s="1186"/>
      <c r="AB58" s="1186"/>
      <c r="AC58" s="1186"/>
      <c r="AD58" s="1186"/>
      <c r="AE58" s="1186"/>
      <c r="AF58" s="1186"/>
      <c r="AG58" s="1186"/>
      <c r="AH58" s="1186"/>
      <c r="AI58" s="1186"/>
      <c r="AJ58" s="1186"/>
      <c r="AK58" s="1186"/>
      <c r="AL58" s="1186"/>
      <c r="AM58" s="1186"/>
      <c r="AN58" s="1186"/>
      <c r="AO58" s="1186"/>
      <c r="AP58" s="1186"/>
      <c r="AQ58" s="1186"/>
      <c r="AR58" s="1186"/>
      <c r="AS58" s="1186"/>
      <c r="AT58" s="1186"/>
      <c r="AU58" s="1186"/>
      <c r="AV58" s="1186"/>
      <c r="AW58" s="1186"/>
      <c r="AX58" s="1186"/>
      <c r="AY58" s="1186"/>
      <c r="AZ58" s="1186"/>
      <c r="BA58" s="1186"/>
      <c r="BB58" s="1186"/>
      <c r="BC58" s="1186"/>
      <c r="BD58" s="1186"/>
      <c r="BE58" s="1186"/>
      <c r="BF58" s="1186"/>
    </row>
    <row r="59" spans="2:58" s="1187" customFormat="1" ht="23.25" customHeight="1">
      <c r="B59" s="1238" t="s">
        <v>181</v>
      </c>
      <c r="C59" s="1239"/>
      <c r="D59" s="1239"/>
      <c r="E59" s="1167">
        <v>0</v>
      </c>
      <c r="F59" s="1161">
        <v>37</v>
      </c>
      <c r="G59" s="1240">
        <f>(F59-(F59*E59))*$E$125</f>
        <v>814</v>
      </c>
      <c r="H59" s="1241"/>
      <c r="I59" s="1232" t="s">
        <v>182</v>
      </c>
      <c r="O59" s="1186"/>
      <c r="P59" s="1186"/>
      <c r="Q59" s="1186"/>
      <c r="R59" s="1186"/>
      <c r="S59" s="1186"/>
      <c r="T59" s="1186"/>
      <c r="U59" s="1186"/>
      <c r="V59" s="1186"/>
      <c r="W59" s="1186"/>
      <c r="X59" s="1186"/>
      <c r="Y59" s="1186"/>
      <c r="Z59" s="1186"/>
      <c r="AA59" s="1186"/>
      <c r="AB59" s="1186"/>
      <c r="AC59" s="1186"/>
      <c r="AD59" s="1186"/>
      <c r="AE59" s="1186"/>
      <c r="AF59" s="1186"/>
      <c r="AG59" s="1186"/>
      <c r="AH59" s="1186"/>
      <c r="AI59" s="1186"/>
      <c r="AJ59" s="1186"/>
      <c r="AK59" s="1186"/>
      <c r="AL59" s="1186"/>
      <c r="AM59" s="1186"/>
      <c r="AN59" s="1186"/>
      <c r="AO59" s="1186"/>
      <c r="AP59" s="1186"/>
      <c r="AQ59" s="1186"/>
      <c r="AR59" s="1186"/>
      <c r="AS59" s="1186"/>
      <c r="AT59" s="1186"/>
      <c r="AU59" s="1186"/>
      <c r="AV59" s="1186"/>
      <c r="AW59" s="1186"/>
      <c r="AX59" s="1186"/>
      <c r="AY59" s="1186"/>
      <c r="AZ59" s="1186"/>
      <c r="BA59" s="1186"/>
      <c r="BB59" s="1186"/>
      <c r="BC59" s="1186"/>
      <c r="BD59" s="1186"/>
      <c r="BE59" s="1186"/>
      <c r="BF59" s="1186"/>
    </row>
    <row r="60" spans="2:58" s="1187" customFormat="1" ht="23.25" customHeight="1">
      <c r="B60" s="1242" t="s">
        <v>183</v>
      </c>
      <c r="C60" s="1239"/>
      <c r="D60" s="1239"/>
      <c r="E60" s="1167">
        <v>0</v>
      </c>
      <c r="F60" s="1161">
        <v>31.72</v>
      </c>
      <c r="G60" s="1240">
        <f>(F60-(F60*E60))*$E$124</f>
        <v>475.79999999999995</v>
      </c>
      <c r="H60" s="1241"/>
      <c r="I60" s="1243" t="s">
        <v>184</v>
      </c>
      <c r="O60" s="1186"/>
      <c r="P60" s="1186"/>
      <c r="Q60" s="1186"/>
      <c r="R60" s="1186"/>
      <c r="S60" s="1186"/>
      <c r="T60" s="1186"/>
      <c r="U60" s="1186"/>
      <c r="V60" s="1186"/>
      <c r="W60" s="1186"/>
      <c r="X60" s="1186"/>
      <c r="Y60" s="1186"/>
      <c r="Z60" s="1186"/>
      <c r="AA60" s="1186"/>
      <c r="AB60" s="1186"/>
      <c r="AC60" s="1186"/>
      <c r="AD60" s="1186"/>
      <c r="AE60" s="1186"/>
      <c r="AF60" s="1186"/>
      <c r="AG60" s="1186"/>
      <c r="AH60" s="1186"/>
      <c r="AI60" s="1186"/>
      <c r="AJ60" s="1186"/>
      <c r="AK60" s="1186"/>
      <c r="AL60" s="1186"/>
      <c r="AM60" s="1186"/>
      <c r="AN60" s="1186"/>
      <c r="AO60" s="1186"/>
      <c r="AP60" s="1186"/>
      <c r="AQ60" s="1186"/>
      <c r="AR60" s="1186"/>
      <c r="AS60" s="1186"/>
      <c r="AT60" s="1186"/>
      <c r="AU60" s="1186"/>
      <c r="AV60" s="1186"/>
      <c r="AW60" s="1186"/>
      <c r="AX60" s="1186"/>
      <c r="AY60" s="1186"/>
      <c r="AZ60" s="1186"/>
      <c r="BA60" s="1186"/>
      <c r="BB60" s="1186"/>
      <c r="BC60" s="1186"/>
      <c r="BD60" s="1186"/>
      <c r="BE60" s="1186"/>
      <c r="BF60" s="1186"/>
    </row>
    <row r="61" spans="2:58" s="1187" customFormat="1" ht="23.25" customHeight="1">
      <c r="B61" s="1244" t="s">
        <v>185</v>
      </c>
      <c r="C61" s="1239"/>
      <c r="D61" s="1239"/>
      <c r="E61" s="1167">
        <v>0</v>
      </c>
      <c r="F61" s="1161">
        <v>0</v>
      </c>
      <c r="G61" s="1240">
        <f>(F61-(F61*E61))*$E$125</f>
        <v>0</v>
      </c>
      <c r="I61" s="1232"/>
      <c r="O61" s="1186"/>
      <c r="P61" s="1186"/>
      <c r="Q61" s="1186"/>
      <c r="R61" s="1186"/>
      <c r="S61" s="1186"/>
      <c r="T61" s="1186"/>
      <c r="U61" s="1186"/>
      <c r="V61" s="1186"/>
      <c r="W61" s="1186"/>
      <c r="X61" s="1186"/>
      <c r="Y61" s="1186"/>
      <c r="Z61" s="1186"/>
      <c r="AA61" s="1186"/>
      <c r="AB61" s="1186"/>
      <c r="AC61" s="1186"/>
      <c r="AD61" s="1186"/>
      <c r="AE61" s="1186"/>
      <c r="AF61" s="1186"/>
      <c r="AG61" s="1186"/>
      <c r="AH61" s="1186"/>
      <c r="AI61" s="1186"/>
      <c r="AJ61" s="1186"/>
      <c r="AK61" s="1186"/>
      <c r="AL61" s="1186"/>
      <c r="AM61" s="1186"/>
      <c r="AN61" s="1186"/>
      <c r="AO61" s="1186"/>
      <c r="AP61" s="1186"/>
      <c r="AQ61" s="1186"/>
      <c r="AR61" s="1186"/>
      <c r="AS61" s="1186"/>
      <c r="AT61" s="1186"/>
      <c r="AU61" s="1186"/>
      <c r="AV61" s="1186"/>
      <c r="AW61" s="1186"/>
      <c r="AX61" s="1186"/>
      <c r="AY61" s="1186"/>
      <c r="AZ61" s="1186"/>
      <c r="BA61" s="1186"/>
      <c r="BB61" s="1186"/>
      <c r="BC61" s="1186"/>
      <c r="BD61" s="1186"/>
      <c r="BE61" s="1186"/>
      <c r="BF61" s="1186"/>
    </row>
    <row r="62" spans="2:58" s="1187" customFormat="1" ht="23.25" customHeight="1">
      <c r="B62" s="1233" t="s">
        <v>186</v>
      </c>
      <c r="C62" s="1245"/>
      <c r="D62" s="1246"/>
      <c r="E62" s="1237" t="s">
        <v>178</v>
      </c>
      <c r="F62" s="1237" t="s">
        <v>179</v>
      </c>
      <c r="G62" s="1237" t="s">
        <v>180</v>
      </c>
      <c r="H62" s="1241"/>
      <c r="I62" s="1232"/>
      <c r="O62" s="1186"/>
      <c r="P62" s="1186"/>
      <c r="Q62" s="1186"/>
      <c r="R62" s="1186"/>
      <c r="S62" s="1186"/>
      <c r="T62" s="1186"/>
      <c r="U62" s="1186"/>
      <c r="V62" s="1186"/>
      <c r="W62" s="1186"/>
      <c r="X62" s="1186"/>
      <c r="Y62" s="1186"/>
      <c r="Z62" s="1186"/>
      <c r="AA62" s="1186"/>
      <c r="AB62" s="1186"/>
      <c r="AC62" s="1186"/>
      <c r="AD62" s="1186"/>
      <c r="AE62" s="1186"/>
      <c r="AF62" s="1186"/>
      <c r="AG62" s="1186"/>
      <c r="AH62" s="1186"/>
      <c r="AI62" s="1186"/>
      <c r="AJ62" s="1186"/>
      <c r="AK62" s="1186"/>
      <c r="AL62" s="1186"/>
      <c r="AM62" s="1186"/>
      <c r="AN62" s="1186"/>
      <c r="AO62" s="1186"/>
      <c r="AP62" s="1186"/>
      <c r="AQ62" s="1186"/>
      <c r="AR62" s="1186"/>
      <c r="AS62" s="1186"/>
      <c r="AT62" s="1186"/>
      <c r="AU62" s="1186"/>
      <c r="AV62" s="1186"/>
      <c r="AW62" s="1186"/>
      <c r="AX62" s="1186"/>
      <c r="AY62" s="1186"/>
      <c r="AZ62" s="1186"/>
      <c r="BA62" s="1186"/>
      <c r="BB62" s="1186"/>
      <c r="BC62" s="1186"/>
      <c r="BD62" s="1186"/>
      <c r="BE62" s="1186"/>
      <c r="BF62" s="1186"/>
    </row>
    <row r="63" spans="2:58" s="1187" customFormat="1" ht="23.25" customHeight="1">
      <c r="B63" s="1242" t="s">
        <v>181</v>
      </c>
      <c r="C63" s="1239"/>
      <c r="D63" s="1239"/>
      <c r="E63" s="1167">
        <v>0</v>
      </c>
      <c r="F63" s="1161">
        <v>0</v>
      </c>
      <c r="G63" s="1240">
        <f>(F63-(F63*E63))</f>
        <v>0</v>
      </c>
      <c r="H63" s="1241"/>
      <c r="I63" s="1232"/>
      <c r="O63" s="1186"/>
      <c r="P63" s="1186"/>
      <c r="Q63" s="1186"/>
      <c r="R63" s="1186"/>
      <c r="S63" s="1186"/>
      <c r="T63" s="1186"/>
      <c r="U63" s="1186"/>
      <c r="V63" s="1186"/>
      <c r="W63" s="1186"/>
      <c r="X63" s="1186"/>
      <c r="Y63" s="1186"/>
      <c r="Z63" s="1186"/>
      <c r="AA63" s="1186"/>
      <c r="AB63" s="1186"/>
      <c r="AC63" s="1186"/>
      <c r="AD63" s="1186"/>
      <c r="AE63" s="1186"/>
      <c r="AF63" s="1186"/>
      <c r="AG63" s="1186"/>
      <c r="AH63" s="1186"/>
      <c r="AI63" s="1186"/>
      <c r="AJ63" s="1186"/>
      <c r="AK63" s="1186"/>
      <c r="AL63" s="1186"/>
      <c r="AM63" s="1186"/>
      <c r="AN63" s="1186"/>
      <c r="AO63" s="1186"/>
      <c r="AP63" s="1186"/>
      <c r="AQ63" s="1186"/>
      <c r="AR63" s="1186"/>
      <c r="AS63" s="1186"/>
      <c r="AT63" s="1186"/>
      <c r="AU63" s="1186"/>
      <c r="AV63" s="1186"/>
      <c r="AW63" s="1186"/>
      <c r="AX63" s="1186"/>
      <c r="AY63" s="1186"/>
      <c r="AZ63" s="1186"/>
      <c r="BA63" s="1186"/>
      <c r="BB63" s="1186"/>
      <c r="BC63" s="1186"/>
      <c r="BD63" s="1186"/>
      <c r="BE63" s="1186"/>
      <c r="BF63" s="1186"/>
    </row>
    <row r="64" spans="2:58" s="1187" customFormat="1" ht="23.25" customHeight="1">
      <c r="B64" s="1242" t="s">
        <v>183</v>
      </c>
      <c r="C64" s="1239"/>
      <c r="D64" s="1239"/>
      <c r="E64" s="1167">
        <v>0</v>
      </c>
      <c r="F64" s="1161">
        <v>179.28</v>
      </c>
      <c r="G64" s="1240">
        <f t="shared" ref="G64:G73" si="10">(F64-(F64*E64))</f>
        <v>179.28</v>
      </c>
      <c r="H64" s="1241"/>
      <c r="I64" s="1243" t="s">
        <v>187</v>
      </c>
      <c r="O64" s="1186"/>
      <c r="P64" s="1186"/>
      <c r="Q64" s="1186"/>
      <c r="R64" s="1186"/>
      <c r="S64" s="1186"/>
      <c r="T64" s="1186"/>
      <c r="U64" s="1186"/>
      <c r="V64" s="1186"/>
      <c r="W64" s="1186"/>
      <c r="X64" s="1186"/>
      <c r="Y64" s="1186"/>
      <c r="Z64" s="1186"/>
      <c r="AA64" s="1186"/>
      <c r="AB64" s="1186"/>
      <c r="AC64" s="1186"/>
      <c r="AD64" s="1186"/>
      <c r="AE64" s="1186"/>
      <c r="AF64" s="1186"/>
      <c r="AG64" s="1186"/>
      <c r="AH64" s="1186"/>
      <c r="AI64" s="1186"/>
      <c r="AJ64" s="1186"/>
      <c r="AK64" s="1186"/>
      <c r="AL64" s="1186"/>
      <c r="AM64" s="1186"/>
      <c r="AN64" s="1186"/>
      <c r="AO64" s="1186"/>
      <c r="AP64" s="1186"/>
      <c r="AQ64" s="1186"/>
      <c r="AR64" s="1186"/>
      <c r="AS64" s="1186"/>
      <c r="AT64" s="1186"/>
      <c r="AU64" s="1186"/>
      <c r="AV64" s="1186"/>
      <c r="AW64" s="1186"/>
      <c r="AX64" s="1186"/>
      <c r="AY64" s="1186"/>
      <c r="AZ64" s="1186"/>
      <c r="BA64" s="1186"/>
      <c r="BB64" s="1186"/>
      <c r="BC64" s="1186"/>
      <c r="BD64" s="1186"/>
      <c r="BE64" s="1186"/>
      <c r="BF64" s="1186"/>
    </row>
    <row r="65" spans="1:58" s="1187" customFormat="1" ht="23.25" customHeight="1">
      <c r="B65" s="1244" t="s">
        <v>185</v>
      </c>
      <c r="C65" s="1239"/>
      <c r="D65" s="1239"/>
      <c r="E65" s="1167">
        <v>0.05</v>
      </c>
      <c r="F65" s="1161">
        <v>450</v>
      </c>
      <c r="G65" s="1240">
        <f t="shared" si="10"/>
        <v>427.5</v>
      </c>
      <c r="H65" s="1241"/>
      <c r="I65" s="1243" t="s">
        <v>188</v>
      </c>
      <c r="O65" s="1186"/>
      <c r="P65" s="1186"/>
      <c r="Q65" s="1186"/>
      <c r="R65" s="1186"/>
      <c r="S65" s="1186"/>
      <c r="T65" s="1186"/>
      <c r="U65" s="1186"/>
      <c r="V65" s="1186"/>
      <c r="W65" s="1186"/>
      <c r="X65" s="1186"/>
      <c r="Y65" s="1186"/>
      <c r="Z65" s="1186"/>
      <c r="AA65" s="1186"/>
      <c r="AB65" s="1186"/>
      <c r="AC65" s="1186"/>
      <c r="AD65" s="1186"/>
      <c r="AE65" s="1186"/>
      <c r="AF65" s="1186"/>
      <c r="AG65" s="1186"/>
      <c r="AH65" s="1186"/>
      <c r="AI65" s="1186"/>
      <c r="AJ65" s="1186"/>
      <c r="AK65" s="1186"/>
      <c r="AL65" s="1186"/>
      <c r="AM65" s="1186"/>
      <c r="AN65" s="1186"/>
      <c r="AO65" s="1186"/>
      <c r="AP65" s="1186"/>
      <c r="AQ65" s="1186"/>
      <c r="AR65" s="1186"/>
      <c r="AS65" s="1186"/>
      <c r="AT65" s="1186"/>
      <c r="AU65" s="1186"/>
      <c r="AV65" s="1186"/>
      <c r="AW65" s="1186"/>
      <c r="AX65" s="1186"/>
      <c r="AY65" s="1186"/>
      <c r="AZ65" s="1186"/>
      <c r="BA65" s="1186"/>
      <c r="BB65" s="1186"/>
      <c r="BC65" s="1186"/>
      <c r="BD65" s="1186"/>
      <c r="BE65" s="1186"/>
      <c r="BF65" s="1186"/>
    </row>
    <row r="66" spans="1:58" s="1187" customFormat="1" ht="23.25" customHeight="1">
      <c r="B66" s="1233" t="s">
        <v>189</v>
      </c>
      <c r="C66" s="1245"/>
      <c r="D66" s="1246"/>
      <c r="E66" s="1237" t="s">
        <v>178</v>
      </c>
      <c r="F66" s="1237" t="s">
        <v>179</v>
      </c>
      <c r="G66" s="1237" t="s">
        <v>180</v>
      </c>
      <c r="H66" s="1237" t="s">
        <v>180</v>
      </c>
      <c r="I66" s="1232"/>
      <c r="J66" s="1186"/>
      <c r="K66" s="1186"/>
      <c r="L66" s="1186"/>
      <c r="M66" s="1186"/>
      <c r="N66" s="1186"/>
      <c r="O66" s="1186"/>
      <c r="P66" s="1186"/>
      <c r="Q66" s="1186"/>
      <c r="R66" s="1186"/>
      <c r="S66" s="1186"/>
      <c r="T66" s="1186"/>
      <c r="U66" s="1186"/>
      <c r="V66" s="1186"/>
      <c r="W66" s="1186"/>
      <c r="X66" s="1186"/>
      <c r="Y66" s="1186"/>
      <c r="Z66" s="1186"/>
      <c r="AA66" s="1186"/>
      <c r="AB66" s="1186"/>
      <c r="AC66" s="1186"/>
      <c r="AD66" s="1186"/>
      <c r="AE66" s="1186"/>
      <c r="AF66" s="1186"/>
      <c r="AG66" s="1186"/>
      <c r="AH66" s="1186"/>
      <c r="AI66" s="1186"/>
      <c r="AJ66" s="1186"/>
      <c r="AK66" s="1186"/>
      <c r="AL66" s="1186"/>
      <c r="AM66" s="1186"/>
      <c r="AN66" s="1186"/>
      <c r="AO66" s="1186"/>
      <c r="AP66" s="1186"/>
      <c r="AQ66" s="1186"/>
      <c r="AR66" s="1186"/>
      <c r="AS66" s="1186"/>
      <c r="AT66" s="1186"/>
      <c r="AU66" s="1186"/>
      <c r="AV66" s="1186"/>
      <c r="AW66" s="1186"/>
      <c r="AX66" s="1186"/>
      <c r="AY66" s="1186"/>
      <c r="AZ66" s="1186"/>
      <c r="BA66" s="1186"/>
      <c r="BB66" s="1186"/>
      <c r="BC66" s="1186"/>
      <c r="BD66" s="1186"/>
      <c r="BE66" s="1186"/>
      <c r="BF66" s="1186"/>
    </row>
    <row r="67" spans="1:58" s="1187" customFormat="1" ht="23.25" customHeight="1">
      <c r="B67" s="1238" t="s">
        <v>181</v>
      </c>
      <c r="C67" s="1239"/>
      <c r="D67" s="1239"/>
      <c r="E67" s="1167">
        <v>0</v>
      </c>
      <c r="F67" s="1161"/>
      <c r="G67" s="1240">
        <f>(F67-(F67*E67))*$E$125</f>
        <v>0</v>
      </c>
      <c r="H67" s="1241"/>
      <c r="I67" s="1232"/>
      <c r="J67" s="1186"/>
      <c r="K67" s="1186"/>
      <c r="L67" s="1186"/>
      <c r="M67" s="1186"/>
      <c r="N67" s="1186"/>
      <c r="O67" s="1186"/>
      <c r="P67" s="1186"/>
      <c r="Q67" s="1186"/>
      <c r="R67" s="1186"/>
      <c r="S67" s="1186"/>
      <c r="T67" s="1186"/>
      <c r="U67" s="1186"/>
      <c r="V67" s="1186"/>
      <c r="W67" s="1186"/>
      <c r="X67" s="1186"/>
      <c r="Y67" s="1186"/>
      <c r="Z67" s="1186"/>
      <c r="AA67" s="1186"/>
      <c r="AB67" s="1186"/>
      <c r="AC67" s="1186"/>
      <c r="AD67" s="1186"/>
      <c r="AE67" s="1186"/>
      <c r="AF67" s="1186"/>
      <c r="AG67" s="1186"/>
      <c r="AH67" s="1186"/>
      <c r="AI67" s="1186"/>
      <c r="AJ67" s="1186"/>
      <c r="AK67" s="1186"/>
      <c r="AL67" s="1186"/>
      <c r="AM67" s="1186"/>
      <c r="AN67" s="1186"/>
      <c r="AO67" s="1186"/>
      <c r="AP67" s="1186"/>
      <c r="AQ67" s="1186"/>
      <c r="AR67" s="1186"/>
      <c r="AS67" s="1186"/>
      <c r="AT67" s="1186"/>
      <c r="AU67" s="1186"/>
      <c r="AV67" s="1186"/>
      <c r="AW67" s="1186"/>
      <c r="AX67" s="1186"/>
      <c r="AY67" s="1186"/>
      <c r="AZ67" s="1186"/>
      <c r="BA67" s="1186"/>
      <c r="BB67" s="1186"/>
      <c r="BC67" s="1186"/>
      <c r="BD67" s="1186"/>
      <c r="BE67" s="1186"/>
      <c r="BF67" s="1186"/>
    </row>
    <row r="68" spans="1:58" s="1187" customFormat="1" ht="23.25" customHeight="1">
      <c r="B68" s="1242" t="s">
        <v>183</v>
      </c>
      <c r="C68" s="1239"/>
      <c r="D68" s="1239"/>
      <c r="E68" s="1167">
        <v>0</v>
      </c>
      <c r="F68" s="1161"/>
      <c r="G68" s="1240">
        <f>(F68-(F68*E68))*$E$125</f>
        <v>0</v>
      </c>
      <c r="H68" s="1241"/>
      <c r="I68" s="1232"/>
      <c r="J68" s="1186"/>
      <c r="K68" s="1186"/>
      <c r="L68" s="1186"/>
      <c r="M68" s="1186"/>
      <c r="N68" s="1186"/>
      <c r="O68" s="1186"/>
      <c r="P68" s="1186"/>
      <c r="Q68" s="1186"/>
      <c r="R68" s="1186"/>
      <c r="S68" s="1186"/>
      <c r="T68" s="1186"/>
      <c r="U68" s="1186"/>
      <c r="V68" s="1186"/>
      <c r="W68" s="1186"/>
      <c r="X68" s="1186"/>
      <c r="Y68" s="1186"/>
      <c r="Z68" s="1186"/>
      <c r="AA68" s="1186"/>
      <c r="AB68" s="1186"/>
      <c r="AC68" s="1186"/>
      <c r="AD68" s="1186"/>
      <c r="AE68" s="1186"/>
      <c r="AF68" s="1186"/>
      <c r="AG68" s="1186"/>
      <c r="AH68" s="1186"/>
      <c r="AI68" s="1186"/>
      <c r="AJ68" s="1186"/>
      <c r="AK68" s="1186"/>
      <c r="AL68" s="1186"/>
      <c r="AM68" s="1186"/>
      <c r="AN68" s="1186"/>
      <c r="AO68" s="1186"/>
      <c r="AP68" s="1186"/>
      <c r="AQ68" s="1186"/>
      <c r="AR68" s="1186"/>
      <c r="AS68" s="1186"/>
      <c r="AT68" s="1186"/>
      <c r="AU68" s="1186"/>
      <c r="AV68" s="1186"/>
      <c r="AW68" s="1186"/>
      <c r="AX68" s="1186"/>
      <c r="AY68" s="1186"/>
      <c r="AZ68" s="1186"/>
      <c r="BA68" s="1186"/>
      <c r="BB68" s="1186"/>
      <c r="BC68" s="1186"/>
      <c r="BD68" s="1186"/>
      <c r="BE68" s="1186"/>
      <c r="BF68" s="1186"/>
    </row>
    <row r="69" spans="1:58" s="1187" customFormat="1" ht="23.25" customHeight="1">
      <c r="B69" s="1244" t="s">
        <v>185</v>
      </c>
      <c r="C69" s="1239"/>
      <c r="D69" s="1239"/>
      <c r="E69" s="1167">
        <v>0.01</v>
      </c>
      <c r="F69" s="1161">
        <v>16</v>
      </c>
      <c r="G69" s="1240">
        <f>(F69-(F69*E69))*$E$125</f>
        <v>348.48</v>
      </c>
      <c r="H69" s="1247">
        <f>(F69-(F69*E69))*$E$124</f>
        <v>237.6</v>
      </c>
      <c r="I69" s="1243" t="s">
        <v>190</v>
      </c>
      <c r="J69" s="1186"/>
      <c r="K69" s="1186"/>
      <c r="L69" s="1186"/>
      <c r="M69" s="1186"/>
      <c r="N69" s="1186"/>
      <c r="O69" s="1186"/>
      <c r="P69" s="1186"/>
      <c r="Q69" s="1186"/>
      <c r="R69" s="1186"/>
      <c r="S69" s="1186"/>
      <c r="T69" s="1186"/>
      <c r="U69" s="1186"/>
      <c r="V69" s="1186"/>
      <c r="W69" s="1186"/>
      <c r="X69" s="1186"/>
      <c r="Y69" s="1186"/>
      <c r="Z69" s="1186"/>
      <c r="AA69" s="1186"/>
      <c r="AB69" s="1186"/>
      <c r="AC69" s="1186"/>
      <c r="AD69" s="1186"/>
      <c r="AE69" s="1186"/>
      <c r="AF69" s="1186"/>
      <c r="AG69" s="1186"/>
      <c r="AH69" s="1186"/>
      <c r="AI69" s="1186"/>
      <c r="AJ69" s="1186"/>
      <c r="AK69" s="1186"/>
      <c r="AL69" s="1186"/>
      <c r="AM69" s="1186"/>
      <c r="AN69" s="1186"/>
      <c r="AO69" s="1186"/>
      <c r="AP69" s="1186"/>
      <c r="AQ69" s="1186"/>
      <c r="AR69" s="1186"/>
      <c r="AS69" s="1186"/>
      <c r="AT69" s="1186"/>
      <c r="AU69" s="1186"/>
      <c r="AV69" s="1186"/>
      <c r="AW69" s="1186"/>
      <c r="AX69" s="1186"/>
      <c r="AY69" s="1186"/>
      <c r="AZ69" s="1186"/>
      <c r="BA69" s="1186"/>
      <c r="BB69" s="1186"/>
      <c r="BC69" s="1186"/>
      <c r="BD69" s="1186"/>
      <c r="BE69" s="1186"/>
      <c r="BF69" s="1186"/>
    </row>
    <row r="70" spans="1:58" ht="23.25" customHeight="1">
      <c r="A70" s="1188"/>
      <c r="B70" s="1233" t="s">
        <v>191</v>
      </c>
      <c r="C70" s="1248"/>
      <c r="D70" s="1249"/>
      <c r="E70" s="1237" t="s">
        <v>178</v>
      </c>
      <c r="F70" s="1237" t="s">
        <v>179</v>
      </c>
      <c r="G70" s="1237" t="s">
        <v>180</v>
      </c>
      <c r="H70" s="1241"/>
      <c r="I70" s="1250"/>
      <c r="J70" s="1186"/>
      <c r="K70" s="1186"/>
      <c r="L70" s="1186"/>
      <c r="M70" s="1186"/>
      <c r="N70" s="1186"/>
      <c r="O70" s="1186"/>
      <c r="P70" s="1186"/>
      <c r="Q70" s="1186"/>
      <c r="R70" s="1186"/>
      <c r="S70" s="1186"/>
      <c r="T70" s="1186"/>
      <c r="U70" s="1186"/>
      <c r="V70" s="1186"/>
      <c r="W70" s="1186"/>
      <c r="X70" s="1186"/>
      <c r="Y70" s="1186"/>
      <c r="Z70" s="1186"/>
      <c r="AA70" s="1186"/>
      <c r="AB70" s="1186"/>
      <c r="AC70" s="1186"/>
      <c r="AD70" s="1186"/>
      <c r="AE70" s="1186"/>
      <c r="AF70" s="1186"/>
      <c r="AG70" s="1186"/>
      <c r="AH70" s="1186"/>
      <c r="AI70" s="1186"/>
      <c r="AJ70" s="1186"/>
      <c r="AK70" s="1186"/>
      <c r="AL70" s="1186"/>
      <c r="AM70" s="1186"/>
      <c r="AN70" s="1186"/>
      <c r="AO70" s="1186"/>
      <c r="AP70" s="1186"/>
      <c r="AQ70" s="1186"/>
      <c r="AR70" s="1186"/>
      <c r="AS70" s="1186"/>
      <c r="AT70" s="1186"/>
      <c r="AU70" s="1186"/>
      <c r="AV70" s="1186"/>
      <c r="AW70" s="1186"/>
      <c r="AX70" s="1186"/>
      <c r="AY70" s="1186"/>
      <c r="AZ70" s="1186"/>
      <c r="BA70" s="1186"/>
      <c r="BB70" s="1186"/>
      <c r="BC70" s="1186"/>
      <c r="BD70" s="1186"/>
      <c r="BE70" s="1186"/>
      <c r="BF70" s="1186"/>
    </row>
    <row r="71" spans="1:58" s="1187" customFormat="1" ht="23.25" customHeight="1">
      <c r="B71" s="1238" t="s">
        <v>181</v>
      </c>
      <c r="C71" s="1239"/>
      <c r="D71" s="1239"/>
      <c r="E71" s="1167">
        <v>0</v>
      </c>
      <c r="F71" s="1161">
        <v>20.32</v>
      </c>
      <c r="G71" s="1240">
        <f t="shared" si="10"/>
        <v>20.32</v>
      </c>
      <c r="H71" s="1241"/>
      <c r="I71" s="1232" t="s">
        <v>192</v>
      </c>
      <c r="J71" s="1186"/>
      <c r="K71" s="1186"/>
      <c r="L71" s="1186"/>
      <c r="M71" s="1186"/>
      <c r="N71" s="1186"/>
      <c r="O71" s="1186"/>
      <c r="P71" s="1186"/>
      <c r="Q71" s="1186"/>
      <c r="R71" s="1186"/>
      <c r="S71" s="1186"/>
      <c r="T71" s="1186"/>
      <c r="U71" s="1186"/>
      <c r="V71" s="1186"/>
      <c r="W71" s="1186"/>
      <c r="X71" s="1186"/>
      <c r="Y71" s="1186"/>
      <c r="Z71" s="1186"/>
      <c r="AA71" s="1186"/>
      <c r="AB71" s="1186"/>
      <c r="AC71" s="1186"/>
      <c r="AD71" s="1186"/>
      <c r="AE71" s="1186"/>
      <c r="AF71" s="1186"/>
      <c r="AG71" s="1186"/>
      <c r="AH71" s="1186"/>
      <c r="AI71" s="1186"/>
      <c r="AJ71" s="1186"/>
      <c r="AK71" s="1186"/>
      <c r="AL71" s="1186"/>
      <c r="AM71" s="1186"/>
      <c r="AN71" s="1186"/>
      <c r="AO71" s="1186"/>
      <c r="AP71" s="1186"/>
      <c r="AQ71" s="1186"/>
      <c r="AR71" s="1186"/>
      <c r="AS71" s="1186"/>
      <c r="AT71" s="1186"/>
      <c r="AU71" s="1186"/>
      <c r="AV71" s="1186"/>
      <c r="AW71" s="1186"/>
      <c r="AX71" s="1186"/>
      <c r="AY71" s="1186"/>
      <c r="AZ71" s="1186"/>
      <c r="BA71" s="1186"/>
      <c r="BB71" s="1186"/>
      <c r="BC71" s="1186"/>
      <c r="BD71" s="1186"/>
      <c r="BE71" s="1186"/>
      <c r="BF71" s="1186"/>
    </row>
    <row r="72" spans="1:58" s="1187" customFormat="1" ht="23.25" customHeight="1">
      <c r="B72" s="1242" t="s">
        <v>183</v>
      </c>
      <c r="C72" s="1239"/>
      <c r="D72" s="1239"/>
      <c r="E72" s="1167">
        <v>0</v>
      </c>
      <c r="F72" s="1161">
        <v>20.32</v>
      </c>
      <c r="G72" s="1240">
        <f t="shared" si="10"/>
        <v>20.32</v>
      </c>
      <c r="H72" s="1241"/>
      <c r="I72" s="1243" t="s">
        <v>193</v>
      </c>
      <c r="J72" s="1186"/>
      <c r="K72" s="1186"/>
      <c r="L72" s="1186"/>
      <c r="M72" s="1186"/>
      <c r="N72" s="1186"/>
      <c r="O72" s="1186"/>
      <c r="P72" s="1186"/>
      <c r="Q72" s="1186"/>
      <c r="R72" s="1186"/>
      <c r="S72" s="1186"/>
      <c r="T72" s="1186"/>
      <c r="U72" s="1186"/>
      <c r="V72" s="1186"/>
      <c r="W72" s="1186"/>
      <c r="X72" s="1186"/>
      <c r="Y72" s="1186"/>
      <c r="Z72" s="1186"/>
      <c r="AA72" s="1186"/>
      <c r="AB72" s="1186"/>
      <c r="AC72" s="1186"/>
      <c r="AD72" s="1186"/>
      <c r="AE72" s="1186"/>
      <c r="AF72" s="1186"/>
      <c r="AG72" s="1186"/>
      <c r="AH72" s="1186"/>
      <c r="AI72" s="1186"/>
      <c r="AJ72" s="1186"/>
      <c r="AK72" s="1186"/>
      <c r="AL72" s="1186"/>
      <c r="AM72" s="1186"/>
      <c r="AN72" s="1186"/>
      <c r="AO72" s="1186"/>
      <c r="AP72" s="1186"/>
      <c r="AQ72" s="1186"/>
      <c r="AR72" s="1186"/>
      <c r="AS72" s="1186"/>
      <c r="AT72" s="1186"/>
      <c r="AU72" s="1186"/>
      <c r="AV72" s="1186"/>
      <c r="AW72" s="1186"/>
      <c r="AX72" s="1186"/>
      <c r="AY72" s="1186"/>
      <c r="AZ72" s="1186"/>
      <c r="BA72" s="1186"/>
      <c r="BB72" s="1186"/>
      <c r="BC72" s="1186"/>
      <c r="BD72" s="1186"/>
      <c r="BE72" s="1186"/>
      <c r="BF72" s="1186"/>
    </row>
    <row r="73" spans="1:58" s="1187" customFormat="1" ht="23.25" customHeight="1">
      <c r="B73" s="1244" t="s">
        <v>185</v>
      </c>
      <c r="C73" s="1239"/>
      <c r="D73" s="1239"/>
      <c r="E73" s="1167">
        <v>0</v>
      </c>
      <c r="F73" s="1161">
        <v>20.32</v>
      </c>
      <c r="G73" s="1240">
        <f t="shared" si="10"/>
        <v>20.32</v>
      </c>
      <c r="H73" s="1241"/>
      <c r="I73" s="1243" t="s">
        <v>194</v>
      </c>
      <c r="O73" s="1186"/>
      <c r="P73" s="1186"/>
      <c r="Q73" s="1186"/>
      <c r="R73" s="1186"/>
      <c r="S73" s="1186"/>
      <c r="T73" s="1186"/>
      <c r="U73" s="1186"/>
      <c r="V73" s="1186"/>
      <c r="W73" s="1186"/>
      <c r="X73" s="1186"/>
      <c r="Y73" s="1186"/>
      <c r="Z73" s="1186"/>
      <c r="AA73" s="1186"/>
      <c r="AB73" s="1186"/>
      <c r="AC73" s="1186"/>
      <c r="AD73" s="1186"/>
      <c r="AE73" s="1186"/>
      <c r="AF73" s="1186"/>
      <c r="AG73" s="1186"/>
      <c r="AH73" s="1186"/>
      <c r="AI73" s="1186"/>
      <c r="AJ73" s="1186"/>
      <c r="AK73" s="1186"/>
      <c r="AL73" s="1186"/>
      <c r="AM73" s="1186"/>
      <c r="AN73" s="1186"/>
      <c r="AO73" s="1186"/>
      <c r="AP73" s="1186"/>
      <c r="AQ73" s="1186"/>
      <c r="AR73" s="1186"/>
      <c r="AS73" s="1186"/>
      <c r="AT73" s="1186"/>
      <c r="AU73" s="1186"/>
      <c r="AV73" s="1186"/>
      <c r="AW73" s="1186"/>
      <c r="AX73" s="1186"/>
      <c r="AY73" s="1186"/>
      <c r="AZ73" s="1186"/>
      <c r="BA73" s="1186"/>
      <c r="BB73" s="1186"/>
      <c r="BC73" s="1186"/>
      <c r="BD73" s="1186"/>
      <c r="BE73" s="1186"/>
      <c r="BF73" s="1186"/>
    </row>
    <row r="74" spans="1:58" s="1187" customFormat="1" ht="23.25" customHeight="1">
      <c r="B74" s="1233" t="s">
        <v>195</v>
      </c>
      <c r="C74" s="1248"/>
      <c r="D74" s="1249"/>
      <c r="E74" s="1237" t="s">
        <v>196</v>
      </c>
      <c r="F74" s="1237" t="s">
        <v>197</v>
      </c>
      <c r="G74" s="1237" t="s">
        <v>180</v>
      </c>
      <c r="H74" s="1241"/>
      <c r="I74" s="1232"/>
      <c r="O74" s="1186"/>
      <c r="P74" s="1186"/>
      <c r="Q74" s="1186"/>
      <c r="R74" s="1186"/>
      <c r="S74" s="1186"/>
      <c r="T74" s="1186"/>
      <c r="U74" s="1186"/>
      <c r="V74" s="1186"/>
      <c r="W74" s="1186"/>
      <c r="X74" s="1186"/>
      <c r="Y74" s="1186"/>
      <c r="Z74" s="1186"/>
      <c r="AA74" s="1186"/>
      <c r="AB74" s="1186"/>
      <c r="AC74" s="1186"/>
      <c r="AD74" s="1186"/>
      <c r="AE74" s="1186"/>
      <c r="AF74" s="1186"/>
      <c r="AG74" s="1186"/>
      <c r="AH74" s="1186"/>
      <c r="AI74" s="1186"/>
      <c r="AJ74" s="1186"/>
      <c r="AK74" s="1186"/>
      <c r="AL74" s="1186"/>
      <c r="AM74" s="1186"/>
      <c r="AN74" s="1186"/>
      <c r="AO74" s="1186"/>
      <c r="AP74" s="1186"/>
      <c r="AQ74" s="1186"/>
      <c r="AR74" s="1186"/>
      <c r="AS74" s="1186"/>
      <c r="AT74" s="1186"/>
      <c r="AU74" s="1186"/>
      <c r="AV74" s="1186"/>
      <c r="AW74" s="1186"/>
      <c r="AX74" s="1186"/>
      <c r="AY74" s="1186"/>
      <c r="AZ74" s="1186"/>
      <c r="BA74" s="1186"/>
      <c r="BB74" s="1186"/>
      <c r="BC74" s="1186"/>
      <c r="BD74" s="1186"/>
      <c r="BE74" s="1186"/>
      <c r="BF74" s="1186"/>
    </row>
    <row r="75" spans="1:58" s="1187" customFormat="1" ht="23.25" customHeight="1">
      <c r="B75" s="1238" t="s">
        <v>181</v>
      </c>
      <c r="C75" s="1239"/>
      <c r="D75" s="1239"/>
      <c r="E75" s="1168">
        <v>0.01</v>
      </c>
      <c r="F75" s="1169">
        <f>PCFP!K14+PCFP!K20+PCFP!K33+PCFP!K66</f>
        <v>22204.799999999999</v>
      </c>
      <c r="G75" s="1240">
        <f t="shared" ref="G75:G76" si="11">E75*F75</f>
        <v>222.048</v>
      </c>
      <c r="H75" s="1241"/>
      <c r="I75" s="1232" t="s">
        <v>198</v>
      </c>
      <c r="O75" s="1186"/>
      <c r="P75" s="1186"/>
      <c r="Q75" s="1186"/>
      <c r="R75" s="1186"/>
      <c r="S75" s="1186"/>
      <c r="T75" s="1186"/>
      <c r="U75" s="1186"/>
      <c r="V75" s="1186"/>
      <c r="W75" s="1186"/>
      <c r="X75" s="1186"/>
      <c r="Y75" s="1186"/>
      <c r="Z75" s="1186"/>
      <c r="AA75" s="1186"/>
      <c r="AB75" s="1186"/>
      <c r="AC75" s="1186"/>
      <c r="AD75" s="1186"/>
      <c r="AE75" s="1186"/>
      <c r="AF75" s="1186"/>
      <c r="AG75" s="1186"/>
      <c r="AH75" s="1186"/>
      <c r="AI75" s="1186"/>
      <c r="AJ75" s="1186"/>
      <c r="AK75" s="1186"/>
      <c r="AL75" s="1186"/>
      <c r="AM75" s="1186"/>
      <c r="AN75" s="1186"/>
      <c r="AO75" s="1186"/>
      <c r="AP75" s="1186"/>
      <c r="AQ75" s="1186"/>
      <c r="AR75" s="1186"/>
      <c r="AS75" s="1186"/>
      <c r="AT75" s="1186"/>
      <c r="AU75" s="1186"/>
      <c r="AV75" s="1186"/>
      <c r="AW75" s="1186"/>
      <c r="AX75" s="1186"/>
      <c r="AY75" s="1186"/>
      <c r="AZ75" s="1186"/>
      <c r="BA75" s="1186"/>
      <c r="BB75" s="1186"/>
      <c r="BC75" s="1186"/>
      <c r="BD75" s="1186"/>
      <c r="BE75" s="1186"/>
      <c r="BF75" s="1186"/>
    </row>
    <row r="76" spans="1:58" s="1187" customFormat="1" ht="23.25" customHeight="1">
      <c r="B76" s="1242" t="s">
        <v>183</v>
      </c>
      <c r="C76" s="1239"/>
      <c r="D76" s="1239"/>
      <c r="E76" s="1168">
        <v>0.01</v>
      </c>
      <c r="F76" s="1169">
        <f>PCFP!Z14+PCFP!Z20+PCFP!Z33+PCFP!Z66</f>
        <v>5464.94</v>
      </c>
      <c r="G76" s="1240">
        <f t="shared" si="11"/>
        <v>54.6494</v>
      </c>
      <c r="H76" s="1241"/>
      <c r="I76" s="1243" t="s">
        <v>199</v>
      </c>
      <c r="O76" s="1186"/>
      <c r="P76" s="1186"/>
      <c r="Q76" s="1186"/>
      <c r="R76" s="1186"/>
      <c r="S76" s="1186"/>
      <c r="T76" s="1186"/>
      <c r="U76" s="1186"/>
      <c r="V76" s="1186"/>
      <c r="W76" s="1186"/>
      <c r="X76" s="1186"/>
      <c r="Y76" s="1186"/>
      <c r="Z76" s="1186"/>
      <c r="AA76" s="1186"/>
      <c r="AB76" s="1186"/>
      <c r="AC76" s="1186"/>
      <c r="AD76" s="1186"/>
      <c r="AE76" s="1186"/>
      <c r="AF76" s="1186"/>
      <c r="AG76" s="1186"/>
      <c r="AH76" s="1186"/>
      <c r="AI76" s="1186"/>
      <c r="AJ76" s="1186"/>
      <c r="AK76" s="1186"/>
      <c r="AL76" s="1186"/>
      <c r="AM76" s="1186"/>
      <c r="AN76" s="1186"/>
      <c r="AO76" s="1186"/>
      <c r="AP76" s="1186"/>
      <c r="AQ76" s="1186"/>
      <c r="AR76" s="1186"/>
      <c r="AS76" s="1186"/>
      <c r="AT76" s="1186"/>
      <c r="AU76" s="1186"/>
      <c r="AV76" s="1186"/>
      <c r="AW76" s="1186"/>
      <c r="AX76" s="1186"/>
      <c r="AY76" s="1186"/>
      <c r="AZ76" s="1186"/>
      <c r="BA76" s="1186"/>
      <c r="BB76" s="1186"/>
      <c r="BC76" s="1186"/>
      <c r="BD76" s="1186"/>
      <c r="BE76" s="1186"/>
      <c r="BF76" s="1186"/>
    </row>
    <row r="77" spans="1:58" s="1187" customFormat="1" ht="23.25" customHeight="1">
      <c r="B77" s="1244" t="s">
        <v>185</v>
      </c>
      <c r="C77" s="1239"/>
      <c r="D77" s="1239"/>
      <c r="E77" s="1167">
        <v>0.01</v>
      </c>
      <c r="F77" s="1169">
        <f>PCFP!$M$14+PCFP!$M$20+PCFP!$M$33+PCFP!M66</f>
        <v>5205.6099999999997</v>
      </c>
      <c r="G77" s="1240">
        <f>E77*F77</f>
        <v>52.056100000000001</v>
      </c>
      <c r="H77" s="1241"/>
      <c r="I77" s="1243" t="s">
        <v>200</v>
      </c>
      <c r="O77" s="1186"/>
      <c r="P77" s="1186"/>
      <c r="Q77" s="1186"/>
      <c r="R77" s="1186"/>
      <c r="S77" s="1186"/>
      <c r="T77" s="1186"/>
      <c r="U77" s="1186"/>
      <c r="V77" s="1186"/>
      <c r="W77" s="1186"/>
      <c r="X77" s="1186"/>
      <c r="Y77" s="1186"/>
      <c r="Z77" s="1186"/>
      <c r="AA77" s="1186"/>
      <c r="AB77" s="1186"/>
      <c r="AC77" s="1186"/>
      <c r="AD77" s="1186"/>
      <c r="AE77" s="1186"/>
      <c r="AF77" s="1186"/>
      <c r="AG77" s="1186"/>
      <c r="AH77" s="1186"/>
      <c r="AI77" s="1186"/>
      <c r="AJ77" s="1186"/>
      <c r="AK77" s="1186"/>
      <c r="AL77" s="1186"/>
      <c r="AM77" s="1186"/>
      <c r="AN77" s="1186"/>
      <c r="AO77" s="1186"/>
      <c r="AP77" s="1186"/>
      <c r="AQ77" s="1186"/>
      <c r="AR77" s="1186"/>
      <c r="AS77" s="1186"/>
      <c r="AT77" s="1186"/>
      <c r="AU77" s="1186"/>
      <c r="AV77" s="1186"/>
      <c r="AW77" s="1186"/>
      <c r="AX77" s="1186"/>
      <c r="AY77" s="1186"/>
      <c r="AZ77" s="1186"/>
      <c r="BA77" s="1186"/>
      <c r="BB77" s="1186"/>
      <c r="BC77" s="1186"/>
      <c r="BD77" s="1186"/>
      <c r="BE77" s="1186"/>
      <c r="BF77" s="1186"/>
    </row>
    <row r="78" spans="1:58" s="1187" customFormat="1" ht="23.25" customHeight="1">
      <c r="B78" s="1233" t="s">
        <v>201</v>
      </c>
      <c r="C78" s="1248"/>
      <c r="D78" s="1249"/>
      <c r="E78" s="1237" t="s">
        <v>196</v>
      </c>
      <c r="F78" s="1237" t="s">
        <v>197</v>
      </c>
      <c r="G78" s="1237" t="s">
        <v>180</v>
      </c>
      <c r="H78" s="1241"/>
      <c r="I78" s="1232"/>
      <c r="O78" s="1186"/>
      <c r="P78" s="1186"/>
      <c r="Q78" s="1186"/>
      <c r="R78" s="1186"/>
      <c r="S78" s="1186"/>
      <c r="T78" s="1186"/>
      <c r="U78" s="1186"/>
      <c r="V78" s="1186"/>
      <c r="W78" s="1186"/>
      <c r="X78" s="1186"/>
      <c r="Y78" s="1186"/>
      <c r="Z78" s="1186"/>
      <c r="AA78" s="1186"/>
      <c r="AB78" s="1186"/>
      <c r="AC78" s="1186"/>
      <c r="AD78" s="1186"/>
      <c r="AE78" s="1186"/>
      <c r="AF78" s="1186"/>
      <c r="AG78" s="1186"/>
      <c r="AH78" s="1186"/>
      <c r="AI78" s="1186"/>
      <c r="AJ78" s="1186"/>
      <c r="AK78" s="1186"/>
      <c r="AL78" s="1186"/>
      <c r="AM78" s="1186"/>
      <c r="AN78" s="1186"/>
      <c r="AO78" s="1186"/>
      <c r="AP78" s="1186"/>
      <c r="AQ78" s="1186"/>
      <c r="AR78" s="1186"/>
      <c r="AS78" s="1186"/>
      <c r="AT78" s="1186"/>
      <c r="AU78" s="1186"/>
      <c r="AV78" s="1186"/>
      <c r="AW78" s="1186"/>
      <c r="AX78" s="1186"/>
      <c r="AY78" s="1186"/>
      <c r="AZ78" s="1186"/>
      <c r="BA78" s="1186"/>
      <c r="BB78" s="1186"/>
      <c r="BC78" s="1186"/>
      <c r="BD78" s="1186"/>
      <c r="BE78" s="1186"/>
      <c r="BF78" s="1186"/>
    </row>
    <row r="79" spans="1:58" s="1187" customFormat="1" ht="23.25" customHeight="1">
      <c r="B79" s="1238" t="s">
        <v>181</v>
      </c>
      <c r="C79" s="1239"/>
      <c r="D79" s="1239"/>
      <c r="E79" s="1167">
        <v>0</v>
      </c>
      <c r="F79" s="1170">
        <v>0</v>
      </c>
      <c r="G79" s="1240">
        <f>E79*F79</f>
        <v>0</v>
      </c>
      <c r="H79" s="1241"/>
      <c r="I79" s="1232"/>
      <c r="J79" s="1186"/>
      <c r="K79" s="1186"/>
      <c r="L79" s="1186"/>
      <c r="M79" s="1186"/>
      <c r="N79" s="1186"/>
      <c r="O79" s="1186"/>
      <c r="P79" s="1186"/>
      <c r="Q79" s="1186"/>
      <c r="R79" s="1186"/>
      <c r="S79" s="1186"/>
      <c r="T79" s="1186"/>
      <c r="U79" s="1186"/>
      <c r="V79" s="1186"/>
      <c r="W79" s="1186"/>
      <c r="X79" s="1186"/>
      <c r="Y79" s="1186"/>
      <c r="Z79" s="1186"/>
      <c r="AA79" s="1186"/>
      <c r="AB79" s="1186"/>
      <c r="AC79" s="1186"/>
      <c r="AD79" s="1186"/>
      <c r="AE79" s="1186"/>
      <c r="AF79" s="1186"/>
      <c r="AG79" s="1186"/>
      <c r="AH79" s="1186"/>
      <c r="AI79" s="1186"/>
      <c r="AJ79" s="1186"/>
      <c r="AK79" s="1186"/>
      <c r="AL79" s="1186"/>
      <c r="AM79" s="1186"/>
      <c r="AN79" s="1186"/>
      <c r="AO79" s="1186"/>
      <c r="AP79" s="1186"/>
      <c r="AQ79" s="1186"/>
      <c r="AR79" s="1186"/>
      <c r="AS79" s="1186"/>
      <c r="AT79" s="1186"/>
      <c r="AU79" s="1186"/>
      <c r="AV79" s="1186"/>
      <c r="AW79" s="1186"/>
      <c r="AX79" s="1186"/>
      <c r="AY79" s="1186"/>
      <c r="AZ79" s="1186"/>
      <c r="BA79" s="1186"/>
      <c r="BB79" s="1186"/>
      <c r="BC79" s="1186"/>
      <c r="BD79" s="1186"/>
      <c r="BE79" s="1186"/>
      <c r="BF79" s="1186"/>
    </row>
    <row r="80" spans="1:58" s="1187" customFormat="1" ht="23.25" customHeight="1">
      <c r="B80" s="1242" t="s">
        <v>183</v>
      </c>
      <c r="C80" s="1239"/>
      <c r="D80" s="1239"/>
      <c r="E80" s="1167">
        <v>0</v>
      </c>
      <c r="F80" s="1170">
        <v>0</v>
      </c>
      <c r="G80" s="1240">
        <f>E80*F80</f>
        <v>0</v>
      </c>
      <c r="H80" s="1241"/>
      <c r="I80" s="1232"/>
      <c r="J80" s="1186"/>
      <c r="K80" s="1186"/>
      <c r="L80" s="1186"/>
      <c r="M80" s="1186"/>
      <c r="N80" s="1186"/>
      <c r="O80" s="1186"/>
      <c r="P80" s="1186"/>
      <c r="Q80" s="1186"/>
      <c r="R80" s="1186"/>
      <c r="S80" s="1186"/>
      <c r="T80" s="1186"/>
      <c r="U80" s="1186"/>
      <c r="V80" s="1186"/>
      <c r="W80" s="1186"/>
      <c r="X80" s="1186"/>
      <c r="Y80" s="1186"/>
      <c r="Z80" s="1186"/>
      <c r="AA80" s="1186"/>
      <c r="AB80" s="1186"/>
      <c r="AC80" s="1186"/>
      <c r="AD80" s="1186"/>
      <c r="AE80" s="1186"/>
      <c r="AF80" s="1186"/>
      <c r="AG80" s="1186"/>
      <c r="AH80" s="1186"/>
      <c r="AI80" s="1186"/>
      <c r="AJ80" s="1186"/>
      <c r="AK80" s="1186"/>
      <c r="AL80" s="1186"/>
      <c r="AM80" s="1186"/>
      <c r="AN80" s="1186"/>
      <c r="AO80" s="1186"/>
      <c r="AP80" s="1186"/>
      <c r="AQ80" s="1186"/>
      <c r="AR80" s="1186"/>
      <c r="AS80" s="1186"/>
      <c r="AT80" s="1186"/>
      <c r="AU80" s="1186"/>
      <c r="AV80" s="1186"/>
      <c r="AW80" s="1186"/>
      <c r="AX80" s="1186"/>
      <c r="AY80" s="1186"/>
      <c r="AZ80" s="1186"/>
      <c r="BA80" s="1186"/>
      <c r="BB80" s="1186"/>
      <c r="BC80" s="1186"/>
      <c r="BD80" s="1186"/>
      <c r="BE80" s="1186"/>
      <c r="BF80" s="1186"/>
    </row>
    <row r="81" spans="2:58" s="1187" customFormat="1" ht="23.25" customHeight="1">
      <c r="B81" s="1244" t="s">
        <v>185</v>
      </c>
      <c r="C81" s="1239"/>
      <c r="D81" s="1239"/>
      <c r="E81" s="1167">
        <v>0</v>
      </c>
      <c r="F81" s="1170">
        <v>0</v>
      </c>
      <c r="G81" s="1240">
        <f>E81*F81</f>
        <v>0</v>
      </c>
      <c r="H81" s="1241"/>
      <c r="I81" s="1232"/>
      <c r="J81" s="1186"/>
      <c r="K81" s="1186"/>
      <c r="L81" s="1186"/>
      <c r="M81" s="1186"/>
      <c r="N81" s="1186"/>
      <c r="O81" s="1186"/>
      <c r="P81" s="1186"/>
      <c r="Q81" s="1186"/>
      <c r="R81" s="1186"/>
      <c r="S81" s="1186"/>
      <c r="T81" s="1186"/>
      <c r="U81" s="1186"/>
      <c r="V81" s="1186"/>
      <c r="W81" s="1186"/>
      <c r="X81" s="1186"/>
      <c r="Y81" s="1186"/>
      <c r="Z81" s="1186"/>
      <c r="AA81" s="1186"/>
      <c r="AB81" s="1186"/>
      <c r="AC81" s="1186"/>
      <c r="AD81" s="1186"/>
      <c r="AE81" s="1186"/>
      <c r="AF81" s="1186"/>
      <c r="AG81" s="1186"/>
      <c r="AH81" s="1186"/>
      <c r="AI81" s="1186"/>
      <c r="AJ81" s="1186"/>
      <c r="AK81" s="1186"/>
      <c r="AL81" s="1186"/>
      <c r="AM81" s="1186"/>
      <c r="AN81" s="1186"/>
      <c r="AO81" s="1186"/>
      <c r="AP81" s="1186"/>
      <c r="AQ81" s="1186"/>
      <c r="AR81" s="1186"/>
      <c r="AS81" s="1186"/>
      <c r="AT81" s="1186"/>
      <c r="AU81" s="1186"/>
      <c r="AV81" s="1186"/>
      <c r="AW81" s="1186"/>
      <c r="AX81" s="1186"/>
      <c r="AY81" s="1186"/>
      <c r="AZ81" s="1186"/>
      <c r="BA81" s="1186"/>
      <c r="BB81" s="1186"/>
      <c r="BC81" s="1186"/>
      <c r="BD81" s="1186"/>
      <c r="BE81" s="1186"/>
      <c r="BF81" s="1186"/>
    </row>
    <row r="82" spans="2:58" s="1187" customFormat="1" ht="23.25" customHeight="1">
      <c r="B82" s="1251" t="s">
        <v>202</v>
      </c>
      <c r="C82" s="1189"/>
      <c r="D82" s="1252" t="s">
        <v>203</v>
      </c>
      <c r="E82" s="1237" t="s">
        <v>196</v>
      </c>
      <c r="F82" s="1237" t="s">
        <v>197</v>
      </c>
      <c r="G82" s="1237" t="s">
        <v>180</v>
      </c>
      <c r="H82" s="1241"/>
      <c r="I82" s="1232"/>
      <c r="J82" s="1186"/>
      <c r="K82" s="1186"/>
      <c r="L82" s="1186"/>
      <c r="M82" s="1186"/>
      <c r="N82" s="1186"/>
      <c r="O82" s="1186"/>
      <c r="P82" s="1186"/>
      <c r="Q82" s="1186"/>
      <c r="R82" s="1186"/>
      <c r="S82" s="1186"/>
      <c r="T82" s="1186"/>
      <c r="U82" s="1186"/>
      <c r="V82" s="1186"/>
      <c r="W82" s="1186"/>
      <c r="X82" s="1186"/>
      <c r="Y82" s="1186"/>
      <c r="Z82" s="1186"/>
      <c r="AA82" s="1186"/>
      <c r="AB82" s="1186"/>
      <c r="AC82" s="1186"/>
      <c r="AD82" s="1186"/>
      <c r="AE82" s="1186"/>
      <c r="AF82" s="1186"/>
      <c r="AG82" s="1186"/>
      <c r="AH82" s="1186"/>
      <c r="AI82" s="1186"/>
      <c r="AJ82" s="1186"/>
      <c r="AK82" s="1186"/>
      <c r="AL82" s="1186"/>
      <c r="AM82" s="1186"/>
      <c r="AN82" s="1186"/>
      <c r="AO82" s="1186"/>
      <c r="AP82" s="1186"/>
      <c r="AQ82" s="1186"/>
      <c r="AR82" s="1186"/>
      <c r="AS82" s="1186"/>
      <c r="AT82" s="1186"/>
      <c r="AU82" s="1186"/>
      <c r="AV82" s="1186"/>
      <c r="AW82" s="1186"/>
      <c r="AX82" s="1186"/>
      <c r="AY82" s="1186"/>
      <c r="AZ82" s="1186"/>
      <c r="BA82" s="1186"/>
      <c r="BB82" s="1186"/>
      <c r="BC82" s="1186"/>
      <c r="BD82" s="1186"/>
      <c r="BE82" s="1186"/>
      <c r="BF82" s="1186"/>
    </row>
    <row r="83" spans="2:58" s="1187" customFormat="1" ht="23.25" customHeight="1">
      <c r="B83" s="1253" t="s">
        <v>181</v>
      </c>
      <c r="C83" s="1189"/>
      <c r="D83" s="1171">
        <v>0.05</v>
      </c>
      <c r="E83" s="1167">
        <v>1</v>
      </c>
      <c r="F83" s="1170">
        <v>325.74</v>
      </c>
      <c r="G83" s="688">
        <f>D83*E83*F83</f>
        <v>16.287000000000003</v>
      </c>
      <c r="H83" s="1241"/>
      <c r="I83" s="1232" t="s">
        <v>204</v>
      </c>
      <c r="J83" s="1186"/>
      <c r="K83" s="1186"/>
      <c r="L83" s="1186"/>
      <c r="M83" s="1186"/>
      <c r="N83" s="1186"/>
      <c r="O83" s="1186"/>
      <c r="P83" s="1186"/>
      <c r="Q83" s="1186"/>
      <c r="R83" s="1186"/>
      <c r="S83" s="1186"/>
      <c r="T83" s="1186"/>
      <c r="U83" s="1186"/>
      <c r="V83" s="1186"/>
      <c r="W83" s="1186"/>
      <c r="X83" s="1186"/>
      <c r="Y83" s="1186"/>
      <c r="Z83" s="1186"/>
      <c r="AA83" s="1186"/>
      <c r="AB83" s="1186"/>
      <c r="AC83" s="1186"/>
      <c r="AD83" s="1186"/>
      <c r="AE83" s="1186"/>
      <c r="AF83" s="1186"/>
      <c r="AG83" s="1186"/>
      <c r="AH83" s="1186"/>
      <c r="AI83" s="1186"/>
      <c r="AJ83" s="1186"/>
      <c r="AK83" s="1186"/>
      <c r="AL83" s="1186"/>
      <c r="AM83" s="1186"/>
      <c r="AN83" s="1186"/>
      <c r="AO83" s="1186"/>
      <c r="AP83" s="1186"/>
      <c r="AQ83" s="1186"/>
      <c r="AR83" s="1186"/>
      <c r="AS83" s="1186"/>
      <c r="AT83" s="1186"/>
      <c r="AU83" s="1186"/>
      <c r="AV83" s="1186"/>
      <c r="AW83" s="1186"/>
      <c r="AX83" s="1186"/>
      <c r="AY83" s="1186"/>
      <c r="AZ83" s="1186"/>
      <c r="BA83" s="1186"/>
      <c r="BB83" s="1186"/>
      <c r="BC83" s="1186"/>
      <c r="BD83" s="1186"/>
      <c r="BE83" s="1186"/>
      <c r="BF83" s="1186"/>
    </row>
    <row r="84" spans="2:58" s="1187" customFormat="1" ht="23.25" customHeight="1">
      <c r="B84" s="1253" t="s">
        <v>183</v>
      </c>
      <c r="C84" s="1189"/>
      <c r="D84" s="1171">
        <v>0.05</v>
      </c>
      <c r="E84" s="1167">
        <v>0.1</v>
      </c>
      <c r="F84" s="1170">
        <v>2639.15</v>
      </c>
      <c r="G84" s="688">
        <f>D84*E84*F84</f>
        <v>13.195750000000004</v>
      </c>
      <c r="H84" s="1241"/>
      <c r="I84" s="1243" t="s">
        <v>205</v>
      </c>
      <c r="J84" s="1186"/>
      <c r="K84" s="1186"/>
      <c r="L84" s="1186"/>
      <c r="M84" s="1186"/>
      <c r="N84" s="1186"/>
      <c r="O84" s="1186"/>
      <c r="P84" s="1186"/>
      <c r="Q84" s="1186"/>
      <c r="R84" s="1186"/>
      <c r="S84" s="1186"/>
      <c r="T84" s="1186"/>
      <c r="U84" s="1186"/>
      <c r="V84" s="1186"/>
      <c r="W84" s="1186"/>
      <c r="X84" s="1186"/>
      <c r="Y84" s="1186"/>
      <c r="Z84" s="1186"/>
      <c r="AA84" s="1186"/>
      <c r="AB84" s="1186"/>
      <c r="AC84" s="1186"/>
      <c r="AD84" s="1186"/>
      <c r="AE84" s="1186"/>
      <c r="AF84" s="1186"/>
      <c r="AG84" s="1186"/>
      <c r="AH84" s="1186"/>
      <c r="AI84" s="1186"/>
      <c r="AJ84" s="1186"/>
      <c r="AK84" s="1186"/>
      <c r="AL84" s="1186"/>
      <c r="AM84" s="1186"/>
      <c r="AN84" s="1186"/>
      <c r="AO84" s="1186"/>
      <c r="AP84" s="1186"/>
      <c r="AQ84" s="1186"/>
      <c r="AR84" s="1186"/>
      <c r="AS84" s="1186"/>
      <c r="AT84" s="1186"/>
      <c r="AU84" s="1186"/>
      <c r="AV84" s="1186"/>
      <c r="AW84" s="1186"/>
      <c r="AX84" s="1186"/>
      <c r="AY84" s="1186"/>
      <c r="AZ84" s="1186"/>
      <c r="BA84" s="1186"/>
      <c r="BB84" s="1186"/>
      <c r="BC84" s="1186"/>
      <c r="BD84" s="1186"/>
      <c r="BE84" s="1186"/>
      <c r="BF84" s="1186"/>
    </row>
    <row r="85" spans="2:58" s="1187" customFormat="1" ht="23.25" customHeight="1">
      <c r="B85" s="1253" t="s">
        <v>185</v>
      </c>
      <c r="C85" s="1189"/>
      <c r="D85" s="1171">
        <v>0.05</v>
      </c>
      <c r="E85" s="1167">
        <v>0.2</v>
      </c>
      <c r="F85" s="1170">
        <v>2513.91</v>
      </c>
      <c r="G85" s="688">
        <f>D85*E85*F85</f>
        <v>25.139100000000003</v>
      </c>
      <c r="H85" s="1241"/>
      <c r="I85" s="1243" t="s">
        <v>206</v>
      </c>
      <c r="J85" s="1186"/>
      <c r="K85" s="1186"/>
      <c r="L85" s="1186"/>
      <c r="M85" s="1186"/>
      <c r="N85" s="1186"/>
      <c r="O85" s="1186"/>
      <c r="P85" s="1186"/>
      <c r="Q85" s="1186"/>
      <c r="R85" s="1186"/>
      <c r="S85" s="1186"/>
      <c r="T85" s="1186"/>
      <c r="U85" s="1186"/>
      <c r="V85" s="1186"/>
      <c r="W85" s="1186"/>
      <c r="X85" s="1186"/>
      <c r="Y85" s="1186"/>
      <c r="Z85" s="1186"/>
      <c r="AA85" s="1186"/>
      <c r="AB85" s="1186"/>
      <c r="AC85" s="1186"/>
      <c r="AD85" s="1186"/>
      <c r="AE85" s="1186"/>
      <c r="AF85" s="1186"/>
      <c r="AG85" s="1186"/>
      <c r="AH85" s="1186"/>
      <c r="AI85" s="1186"/>
      <c r="AJ85" s="1186"/>
      <c r="AK85" s="1186"/>
      <c r="AL85" s="1186"/>
      <c r="AM85" s="1186"/>
      <c r="AN85" s="1186"/>
      <c r="AO85" s="1186"/>
      <c r="AP85" s="1186"/>
      <c r="AQ85" s="1186"/>
      <c r="AR85" s="1186"/>
      <c r="AS85" s="1186"/>
      <c r="AT85" s="1186"/>
      <c r="AU85" s="1186"/>
      <c r="AV85" s="1186"/>
      <c r="AW85" s="1186"/>
      <c r="AX85" s="1186"/>
      <c r="AY85" s="1186"/>
      <c r="AZ85" s="1186"/>
      <c r="BA85" s="1186"/>
      <c r="BB85" s="1186"/>
      <c r="BC85" s="1186"/>
      <c r="BD85" s="1186"/>
      <c r="BE85" s="1186"/>
      <c r="BF85" s="1186"/>
    </row>
    <row r="86" spans="2:58" s="1187" customFormat="1" ht="23.25" customHeight="1">
      <c r="B86" s="1233" t="s">
        <v>207</v>
      </c>
      <c r="C86" s="1249"/>
      <c r="D86" s="1252" t="s">
        <v>203</v>
      </c>
      <c r="E86" s="1237" t="s">
        <v>196</v>
      </c>
      <c r="F86" s="1237" t="s">
        <v>197</v>
      </c>
      <c r="G86" s="1237" t="s">
        <v>180</v>
      </c>
      <c r="H86" s="1241"/>
      <c r="I86" s="1232"/>
      <c r="J86" s="1186"/>
      <c r="K86" s="1186"/>
      <c r="L86" s="1186"/>
      <c r="M86" s="1186"/>
      <c r="N86" s="1186"/>
      <c r="O86" s="1186"/>
      <c r="P86" s="1186"/>
      <c r="Q86" s="1186"/>
      <c r="R86" s="1186"/>
      <c r="S86" s="1186"/>
      <c r="T86" s="1186"/>
      <c r="U86" s="1186"/>
      <c r="V86" s="1186"/>
      <c r="W86" s="1186"/>
      <c r="X86" s="1186"/>
      <c r="Y86" s="1186"/>
      <c r="Z86" s="1186"/>
      <c r="AA86" s="1186"/>
      <c r="AB86" s="1186"/>
      <c r="AC86" s="1186"/>
      <c r="AD86" s="1186"/>
      <c r="AE86" s="1186"/>
      <c r="AF86" s="1186"/>
      <c r="AG86" s="1186"/>
      <c r="AH86" s="1186"/>
      <c r="AI86" s="1186"/>
      <c r="AJ86" s="1186"/>
      <c r="AK86" s="1186"/>
      <c r="AL86" s="1186"/>
      <c r="AM86" s="1186"/>
      <c r="AN86" s="1186"/>
      <c r="AO86" s="1186"/>
      <c r="AP86" s="1186"/>
      <c r="AQ86" s="1186"/>
      <c r="AR86" s="1186"/>
      <c r="AS86" s="1186"/>
      <c r="AT86" s="1186"/>
      <c r="AU86" s="1186"/>
      <c r="AV86" s="1186"/>
      <c r="AW86" s="1186"/>
      <c r="AX86" s="1186"/>
      <c r="AY86" s="1186"/>
      <c r="AZ86" s="1186"/>
      <c r="BA86" s="1186"/>
      <c r="BB86" s="1186"/>
      <c r="BC86" s="1186"/>
      <c r="BD86" s="1186"/>
      <c r="BE86" s="1186"/>
      <c r="BF86" s="1186"/>
    </row>
    <row r="87" spans="2:58" s="1187" customFormat="1" ht="23.25" customHeight="1">
      <c r="B87" s="1238" t="s">
        <v>181</v>
      </c>
      <c r="C87" s="1254"/>
      <c r="D87" s="1171">
        <v>0</v>
      </c>
      <c r="E87" s="1168">
        <v>0</v>
      </c>
      <c r="F87" s="1172">
        <v>0</v>
      </c>
      <c r="G87" s="1255">
        <f>D87*E87*F87</f>
        <v>0</v>
      </c>
      <c r="H87" s="1241"/>
      <c r="I87" s="1232"/>
      <c r="J87" s="1186"/>
      <c r="K87" s="1186"/>
      <c r="L87" s="1186"/>
      <c r="M87" s="1186"/>
      <c r="N87" s="1186"/>
      <c r="O87" s="1186"/>
      <c r="P87" s="1186"/>
      <c r="Q87" s="1186"/>
      <c r="R87" s="1186"/>
      <c r="S87" s="1186"/>
      <c r="T87" s="1186"/>
      <c r="U87" s="1186"/>
      <c r="V87" s="1186"/>
      <c r="W87" s="1186"/>
      <c r="X87" s="1186"/>
      <c r="Y87" s="1186"/>
      <c r="Z87" s="1186"/>
      <c r="AA87" s="1186"/>
      <c r="AB87" s="1186"/>
      <c r="AC87" s="1186"/>
      <c r="AD87" s="1186"/>
      <c r="AE87" s="1186"/>
      <c r="AF87" s="1186"/>
      <c r="AG87" s="1186"/>
      <c r="AH87" s="1186"/>
      <c r="AI87" s="1186"/>
      <c r="AJ87" s="1186"/>
      <c r="AK87" s="1186"/>
      <c r="AL87" s="1186"/>
      <c r="AM87" s="1186"/>
      <c r="AN87" s="1186"/>
      <c r="AO87" s="1186"/>
      <c r="AP87" s="1186"/>
      <c r="AQ87" s="1186"/>
      <c r="AR87" s="1186"/>
      <c r="AS87" s="1186"/>
      <c r="AT87" s="1186"/>
      <c r="AU87" s="1186"/>
      <c r="AV87" s="1186"/>
      <c r="AW87" s="1186"/>
      <c r="AX87" s="1186"/>
      <c r="AY87" s="1186"/>
      <c r="AZ87" s="1186"/>
      <c r="BA87" s="1186"/>
      <c r="BB87" s="1186"/>
      <c r="BC87" s="1186"/>
      <c r="BD87" s="1186"/>
      <c r="BE87" s="1186"/>
      <c r="BF87" s="1186"/>
    </row>
    <row r="88" spans="2:58" s="1187" customFormat="1" ht="23.25" customHeight="1">
      <c r="B88" s="1242" t="s">
        <v>183</v>
      </c>
      <c r="C88" s="1249"/>
      <c r="D88" s="1171">
        <v>0.05</v>
      </c>
      <c r="E88" s="1168">
        <v>0.1</v>
      </c>
      <c r="F88" s="1172">
        <v>2639.15</v>
      </c>
      <c r="G88" s="1255">
        <f>D88*E88*F88</f>
        <v>13.195750000000004</v>
      </c>
      <c r="H88" s="1241"/>
      <c r="I88" s="1243" t="s">
        <v>208</v>
      </c>
      <c r="J88" s="1186"/>
      <c r="K88" s="1186"/>
      <c r="L88" s="1186"/>
      <c r="M88" s="1186"/>
      <c r="N88" s="1186"/>
      <c r="O88" s="1186"/>
      <c r="P88" s="1186"/>
      <c r="Q88" s="1186"/>
      <c r="R88" s="1186"/>
      <c r="S88" s="1186"/>
      <c r="T88" s="1186"/>
      <c r="U88" s="1186"/>
      <c r="V88" s="1186"/>
      <c r="W88" s="1186"/>
      <c r="X88" s="1186"/>
      <c r="Y88" s="1186"/>
      <c r="Z88" s="1186"/>
      <c r="AA88" s="1186"/>
      <c r="AB88" s="1186"/>
      <c r="AC88" s="1186"/>
      <c r="AD88" s="1186"/>
      <c r="AE88" s="1186"/>
      <c r="AF88" s="1186"/>
      <c r="AG88" s="1186"/>
      <c r="AH88" s="1186"/>
      <c r="AI88" s="1186"/>
      <c r="AJ88" s="1186"/>
      <c r="AK88" s="1186"/>
      <c r="AL88" s="1186"/>
      <c r="AM88" s="1186"/>
      <c r="AN88" s="1186"/>
      <c r="AO88" s="1186"/>
      <c r="AP88" s="1186"/>
      <c r="AQ88" s="1186"/>
      <c r="AR88" s="1186"/>
      <c r="AS88" s="1186"/>
      <c r="AT88" s="1186"/>
      <c r="AU88" s="1186"/>
      <c r="AV88" s="1186"/>
      <c r="AW88" s="1186"/>
      <c r="AX88" s="1186"/>
      <c r="AY88" s="1186"/>
      <c r="AZ88" s="1186"/>
      <c r="BA88" s="1186"/>
      <c r="BB88" s="1186"/>
      <c r="BC88" s="1186"/>
      <c r="BD88" s="1186"/>
      <c r="BE88" s="1186"/>
      <c r="BF88" s="1186"/>
    </row>
    <row r="89" spans="2:58" s="1187" customFormat="1" ht="23.25" customHeight="1">
      <c r="B89" s="1238" t="s">
        <v>185</v>
      </c>
      <c r="D89" s="1171">
        <v>0</v>
      </c>
      <c r="E89" s="1168">
        <v>0</v>
      </c>
      <c r="F89" s="1172">
        <v>0</v>
      </c>
      <c r="G89" s="1255">
        <f>D89*E89*F89</f>
        <v>0</v>
      </c>
      <c r="H89" s="1241"/>
      <c r="I89" s="1232"/>
      <c r="J89" s="1186"/>
      <c r="K89" s="1186"/>
      <c r="L89" s="1186"/>
      <c r="M89" s="1186"/>
      <c r="N89" s="1186"/>
      <c r="O89" s="1186"/>
      <c r="P89" s="1186"/>
      <c r="Q89" s="1186"/>
      <c r="R89" s="1186"/>
      <c r="S89" s="1186"/>
      <c r="T89" s="1186"/>
      <c r="U89" s="1186"/>
      <c r="V89" s="1186"/>
      <c r="W89" s="1186"/>
      <c r="X89" s="1186"/>
      <c r="Y89" s="1186"/>
      <c r="Z89" s="1186"/>
      <c r="AA89" s="1186"/>
      <c r="AB89" s="1186"/>
      <c r="AC89" s="1186"/>
      <c r="AD89" s="1186"/>
      <c r="AE89" s="1186"/>
      <c r="AF89" s="1186"/>
      <c r="AG89" s="1186"/>
      <c r="AH89" s="1186"/>
      <c r="AI89" s="1186"/>
      <c r="AJ89" s="1186"/>
      <c r="AK89" s="1186"/>
      <c r="AL89" s="1186"/>
      <c r="AM89" s="1186"/>
      <c r="AN89" s="1186"/>
      <c r="AO89" s="1186"/>
      <c r="AP89" s="1186"/>
      <c r="AQ89" s="1186"/>
      <c r="AR89" s="1186"/>
      <c r="AS89" s="1186"/>
      <c r="AT89" s="1186"/>
      <c r="AU89" s="1186"/>
      <c r="AV89" s="1186"/>
      <c r="AW89" s="1186"/>
      <c r="AX89" s="1186"/>
      <c r="AY89" s="1186"/>
      <c r="AZ89" s="1186"/>
      <c r="BA89" s="1186"/>
      <c r="BB89" s="1186"/>
      <c r="BC89" s="1186"/>
      <c r="BD89" s="1186"/>
      <c r="BE89" s="1186"/>
      <c r="BF89" s="1186"/>
    </row>
    <row r="90" spans="2:58" s="1187" customFormat="1" ht="23.25" customHeight="1">
      <c r="B90" s="1233" t="s">
        <v>209</v>
      </c>
      <c r="C90" s="1256"/>
      <c r="D90" s="1257"/>
      <c r="E90" s="1237" t="s">
        <v>178</v>
      </c>
      <c r="F90" s="1237" t="s">
        <v>179</v>
      </c>
      <c r="G90" s="1237" t="s">
        <v>180</v>
      </c>
      <c r="H90" s="1241"/>
      <c r="I90" s="1232"/>
      <c r="J90" s="1186"/>
      <c r="K90" s="1186"/>
      <c r="L90" s="1186"/>
      <c r="M90" s="1186"/>
      <c r="N90" s="1186"/>
      <c r="O90" s="1186"/>
      <c r="P90" s="1186"/>
      <c r="Q90" s="1186"/>
      <c r="R90" s="1186"/>
      <c r="S90" s="1186"/>
      <c r="T90" s="1186"/>
      <c r="U90" s="1186"/>
      <c r="V90" s="1186"/>
      <c r="W90" s="1186"/>
      <c r="X90" s="1186"/>
      <c r="Y90" s="1186"/>
      <c r="Z90" s="1186"/>
      <c r="AA90" s="1186"/>
      <c r="AB90" s="1186"/>
      <c r="AC90" s="1186"/>
      <c r="AD90" s="1186"/>
      <c r="AE90" s="1186"/>
      <c r="AF90" s="1186"/>
      <c r="AG90" s="1186"/>
      <c r="AH90" s="1186"/>
      <c r="AI90" s="1186"/>
      <c r="AJ90" s="1186"/>
      <c r="AK90" s="1186"/>
      <c r="AL90" s="1186"/>
      <c r="AM90" s="1186"/>
      <c r="AN90" s="1186"/>
      <c r="AO90" s="1186"/>
      <c r="AP90" s="1186"/>
      <c r="AQ90" s="1186"/>
      <c r="AR90" s="1186"/>
      <c r="AS90" s="1186"/>
      <c r="AT90" s="1186"/>
      <c r="AU90" s="1186"/>
      <c r="AV90" s="1186"/>
      <c r="AW90" s="1186"/>
      <c r="AX90" s="1186"/>
      <c r="AY90" s="1186"/>
      <c r="AZ90" s="1186"/>
      <c r="BA90" s="1186"/>
      <c r="BB90" s="1186"/>
      <c r="BC90" s="1186"/>
      <c r="BD90" s="1186"/>
      <c r="BE90" s="1186"/>
      <c r="BF90" s="1186"/>
    </row>
    <row r="91" spans="2:58" s="1187" customFormat="1" ht="23.25" customHeight="1">
      <c r="B91" s="1238" t="s">
        <v>181</v>
      </c>
      <c r="C91" s="1239"/>
      <c r="D91" s="1239"/>
      <c r="E91" s="1172">
        <v>0</v>
      </c>
      <c r="F91" s="1172">
        <v>0</v>
      </c>
      <c r="G91" s="1255">
        <f>(F91-E91)</f>
        <v>0</v>
      </c>
      <c r="H91" s="1241"/>
      <c r="I91" s="1232"/>
      <c r="J91" s="1186"/>
      <c r="K91" s="1186"/>
      <c r="L91" s="1186"/>
      <c r="M91" s="1186"/>
      <c r="N91" s="1186"/>
      <c r="O91" s="1186"/>
      <c r="P91" s="1186"/>
      <c r="Q91" s="1186"/>
      <c r="R91" s="1186"/>
      <c r="S91" s="1186"/>
      <c r="T91" s="1186"/>
      <c r="U91" s="1186"/>
      <c r="V91" s="1186"/>
      <c r="W91" s="1186"/>
      <c r="X91" s="1186"/>
      <c r="Y91" s="1186"/>
      <c r="Z91" s="1186"/>
      <c r="AA91" s="1186"/>
      <c r="AB91" s="1186"/>
      <c r="AC91" s="1186"/>
      <c r="AD91" s="1186"/>
      <c r="AE91" s="1186"/>
      <c r="AF91" s="1186"/>
      <c r="AG91" s="1186"/>
      <c r="AH91" s="1186"/>
      <c r="AI91" s="1186"/>
      <c r="AJ91" s="1186"/>
      <c r="AK91" s="1186"/>
      <c r="AL91" s="1186"/>
      <c r="AM91" s="1186"/>
      <c r="AN91" s="1186"/>
      <c r="AO91" s="1186"/>
      <c r="AP91" s="1186"/>
      <c r="AQ91" s="1186"/>
      <c r="AR91" s="1186"/>
      <c r="AS91" s="1186"/>
      <c r="AT91" s="1186"/>
      <c r="AU91" s="1186"/>
      <c r="AV91" s="1186"/>
      <c r="AW91" s="1186"/>
      <c r="AX91" s="1186"/>
      <c r="AY91" s="1186"/>
      <c r="AZ91" s="1186"/>
      <c r="BA91" s="1186"/>
      <c r="BB91" s="1186"/>
      <c r="BC91" s="1186"/>
      <c r="BD91" s="1186"/>
      <c r="BE91" s="1186"/>
      <c r="BF91" s="1186"/>
    </row>
    <row r="92" spans="2:58" s="1187" customFormat="1" ht="23.25" customHeight="1">
      <c r="B92" s="1242" t="s">
        <v>183</v>
      </c>
      <c r="C92" s="1239"/>
      <c r="D92" s="1239"/>
      <c r="E92" s="1172">
        <v>8.81</v>
      </c>
      <c r="F92" s="1172">
        <v>17.61</v>
      </c>
      <c r="G92" s="1255">
        <f>(F92-E92)</f>
        <v>8.7999999999999989</v>
      </c>
      <c r="H92" s="1241"/>
      <c r="I92" s="1243" t="s">
        <v>210</v>
      </c>
      <c r="J92" s="1186"/>
      <c r="K92" s="1186"/>
      <c r="L92" s="1186"/>
      <c r="M92" s="1186"/>
      <c r="N92" s="1186"/>
      <c r="O92" s="1186"/>
      <c r="P92" s="1186"/>
      <c r="Q92" s="1186"/>
      <c r="R92" s="1186"/>
      <c r="S92" s="1186"/>
      <c r="T92" s="1186"/>
      <c r="U92" s="1186"/>
      <c r="V92" s="1186"/>
      <c r="W92" s="1186"/>
      <c r="X92" s="1186"/>
      <c r="Y92" s="1186"/>
      <c r="Z92" s="1186"/>
      <c r="AA92" s="1186"/>
      <c r="AB92" s="1186"/>
      <c r="AC92" s="1186"/>
      <c r="AD92" s="1186"/>
      <c r="AE92" s="1186"/>
      <c r="AF92" s="1186"/>
      <c r="AG92" s="1186"/>
      <c r="AH92" s="1186"/>
      <c r="AI92" s="1186"/>
      <c r="AJ92" s="1186"/>
      <c r="AK92" s="1186"/>
      <c r="AL92" s="1186"/>
      <c r="AM92" s="1186"/>
      <c r="AN92" s="1186"/>
      <c r="AO92" s="1186"/>
      <c r="AP92" s="1186"/>
      <c r="AQ92" s="1186"/>
      <c r="AR92" s="1186"/>
      <c r="AS92" s="1186"/>
      <c r="AT92" s="1186"/>
      <c r="AU92" s="1186"/>
      <c r="AV92" s="1186"/>
      <c r="AW92" s="1186"/>
      <c r="AX92" s="1186"/>
      <c r="AY92" s="1186"/>
      <c r="AZ92" s="1186"/>
      <c r="BA92" s="1186"/>
      <c r="BB92" s="1186"/>
      <c r="BC92" s="1186"/>
      <c r="BD92" s="1186"/>
      <c r="BE92" s="1186"/>
      <c r="BF92" s="1186"/>
    </row>
    <row r="93" spans="2:58" s="1187" customFormat="1" ht="23.25" customHeight="1">
      <c r="B93" s="1242" t="s">
        <v>185</v>
      </c>
      <c r="C93" s="1239"/>
      <c r="D93" s="1239"/>
      <c r="E93" s="1172">
        <v>0</v>
      </c>
      <c r="F93" s="1172">
        <v>0</v>
      </c>
      <c r="G93" s="1255">
        <f>(F93-E93)</f>
        <v>0</v>
      </c>
      <c r="H93" s="1241"/>
      <c r="I93" s="1232"/>
      <c r="J93" s="1186"/>
      <c r="K93" s="1186"/>
      <c r="L93" s="1186"/>
      <c r="M93" s="1186"/>
      <c r="N93" s="1186"/>
      <c r="O93" s="1186"/>
      <c r="P93" s="1186"/>
      <c r="Q93" s="1186"/>
      <c r="R93" s="1186"/>
      <c r="S93" s="1186"/>
      <c r="T93" s="1186"/>
      <c r="U93" s="1186"/>
      <c r="V93" s="1186"/>
      <c r="W93" s="1186"/>
      <c r="X93" s="1186"/>
      <c r="Y93" s="1186"/>
      <c r="Z93" s="1186"/>
      <c r="AA93" s="1186"/>
      <c r="AB93" s="1186"/>
      <c r="AC93" s="1186"/>
      <c r="AD93" s="1186"/>
      <c r="AE93" s="1186"/>
      <c r="AF93" s="1186"/>
      <c r="AG93" s="1186"/>
      <c r="AH93" s="1186"/>
      <c r="AI93" s="1186"/>
      <c r="AJ93" s="1186"/>
      <c r="AK93" s="1186"/>
      <c r="AL93" s="1186"/>
      <c r="AM93" s="1186"/>
      <c r="AN93" s="1186"/>
      <c r="AO93" s="1186"/>
      <c r="AP93" s="1186"/>
      <c r="AQ93" s="1186"/>
      <c r="AR93" s="1186"/>
      <c r="AS93" s="1186"/>
      <c r="AT93" s="1186"/>
      <c r="AU93" s="1186"/>
      <c r="AV93" s="1186"/>
      <c r="AW93" s="1186"/>
      <c r="AX93" s="1186"/>
      <c r="AY93" s="1186"/>
      <c r="AZ93" s="1186"/>
      <c r="BA93" s="1186"/>
      <c r="BB93" s="1186"/>
      <c r="BC93" s="1186"/>
      <c r="BD93" s="1186"/>
      <c r="BE93" s="1186"/>
      <c r="BF93" s="1186"/>
    </row>
    <row r="94" spans="2:58" s="1187" customFormat="1" ht="23.25" customHeight="1">
      <c r="B94" s="1174" t="s">
        <v>211</v>
      </c>
      <c r="C94" s="1175"/>
      <c r="D94" s="1173"/>
      <c r="E94" s="1237" t="s">
        <v>178</v>
      </c>
      <c r="F94" s="1237" t="s">
        <v>179</v>
      </c>
      <c r="G94" s="1237" t="s">
        <v>180</v>
      </c>
      <c r="H94" s="1241"/>
      <c r="I94" s="1232"/>
      <c r="J94" s="1186"/>
      <c r="K94" s="1186"/>
      <c r="L94" s="1186"/>
      <c r="M94" s="1186"/>
      <c r="N94" s="1186"/>
      <c r="O94" s="1186"/>
      <c r="P94" s="1186"/>
      <c r="Q94" s="1186"/>
      <c r="R94" s="1186"/>
      <c r="S94" s="1186"/>
      <c r="T94" s="1186"/>
      <c r="U94" s="1186"/>
      <c r="V94" s="1186"/>
      <c r="W94" s="1186"/>
      <c r="X94" s="1186"/>
      <c r="Y94" s="1186"/>
      <c r="Z94" s="1186"/>
      <c r="AA94" s="1186"/>
      <c r="AB94" s="1186"/>
      <c r="AC94" s="1186"/>
      <c r="AD94" s="1186"/>
      <c r="AE94" s="1186"/>
      <c r="AF94" s="1186"/>
      <c r="AG94" s="1186"/>
      <c r="AH94" s="1186"/>
      <c r="AI94" s="1186"/>
      <c r="AJ94" s="1186"/>
      <c r="AK94" s="1186"/>
      <c r="AL94" s="1186"/>
      <c r="AM94" s="1186"/>
      <c r="AN94" s="1186"/>
      <c r="AO94" s="1186"/>
      <c r="AP94" s="1186"/>
      <c r="AQ94" s="1186"/>
      <c r="AR94" s="1186"/>
      <c r="AS94" s="1186"/>
      <c r="AT94" s="1186"/>
      <c r="AU94" s="1186"/>
      <c r="AV94" s="1186"/>
      <c r="AW94" s="1186"/>
      <c r="AX94" s="1186"/>
      <c r="AY94" s="1186"/>
      <c r="AZ94" s="1186"/>
      <c r="BA94" s="1186"/>
      <c r="BB94" s="1186"/>
      <c r="BC94" s="1186"/>
      <c r="BD94" s="1186"/>
      <c r="BE94" s="1186"/>
      <c r="BF94" s="1186"/>
    </row>
    <row r="95" spans="2:58" s="1187" customFormat="1" ht="23.25" customHeight="1">
      <c r="B95" s="1238" t="s">
        <v>181</v>
      </c>
      <c r="C95" s="1166"/>
      <c r="D95" s="1166"/>
      <c r="E95" s="1172">
        <v>0</v>
      </c>
      <c r="F95" s="1172">
        <v>0</v>
      </c>
      <c r="G95" s="1255">
        <f>(F95-E95)</f>
        <v>0</v>
      </c>
      <c r="H95" s="1241"/>
      <c r="I95" s="1232"/>
      <c r="J95" s="1186"/>
      <c r="K95" s="1186"/>
      <c r="L95" s="1186"/>
      <c r="M95" s="1186"/>
      <c r="N95" s="1186"/>
      <c r="O95" s="1186"/>
      <c r="P95" s="1186"/>
      <c r="Q95" s="1186"/>
      <c r="R95" s="1186"/>
      <c r="S95" s="1186"/>
      <c r="T95" s="1186"/>
      <c r="U95" s="1186"/>
      <c r="V95" s="1186"/>
      <c r="W95" s="1186"/>
      <c r="X95" s="1186"/>
      <c r="Y95" s="1186"/>
      <c r="Z95" s="1186"/>
      <c r="AA95" s="1186"/>
      <c r="AB95" s="1186"/>
      <c r="AC95" s="1186"/>
      <c r="AD95" s="1186"/>
      <c r="AE95" s="1186"/>
      <c r="AF95" s="1186"/>
      <c r="AG95" s="1186"/>
      <c r="AH95" s="1186"/>
      <c r="AI95" s="1186"/>
      <c r="AJ95" s="1186"/>
      <c r="AK95" s="1186"/>
      <c r="AL95" s="1186"/>
      <c r="AM95" s="1186"/>
      <c r="AN95" s="1186"/>
      <c r="AO95" s="1186"/>
      <c r="AP95" s="1186"/>
      <c r="AQ95" s="1186"/>
      <c r="AR95" s="1186"/>
      <c r="AS95" s="1186"/>
      <c r="AT95" s="1186"/>
      <c r="AU95" s="1186"/>
      <c r="AV95" s="1186"/>
      <c r="AW95" s="1186"/>
      <c r="AX95" s="1186"/>
      <c r="AY95" s="1186"/>
      <c r="AZ95" s="1186"/>
      <c r="BA95" s="1186"/>
      <c r="BB95" s="1186"/>
      <c r="BC95" s="1186"/>
      <c r="BD95" s="1186"/>
      <c r="BE95" s="1186"/>
      <c r="BF95" s="1186"/>
    </row>
    <row r="96" spans="2:58" s="1187" customFormat="1" ht="23.25" customHeight="1">
      <c r="B96" s="1242" t="s">
        <v>183</v>
      </c>
      <c r="C96" s="1239"/>
      <c r="D96" s="1239"/>
      <c r="E96" s="1172">
        <v>0</v>
      </c>
      <c r="F96" s="1172">
        <v>0</v>
      </c>
      <c r="G96" s="1255">
        <f>(F96-E96)</f>
        <v>0</v>
      </c>
      <c r="H96" s="1241"/>
      <c r="I96" s="1232"/>
      <c r="J96" s="1186"/>
      <c r="K96" s="1186"/>
      <c r="L96" s="1186"/>
      <c r="M96" s="1186"/>
      <c r="N96" s="1186"/>
      <c r="O96" s="1186"/>
      <c r="P96" s="1186"/>
      <c r="Q96" s="1186"/>
      <c r="R96" s="1186"/>
      <c r="S96" s="1186"/>
      <c r="T96" s="1186"/>
      <c r="U96" s="1186"/>
      <c r="V96" s="1186"/>
      <c r="W96" s="1186"/>
      <c r="X96" s="1186"/>
      <c r="Y96" s="1186"/>
      <c r="Z96" s="1186"/>
      <c r="AA96" s="1186"/>
      <c r="AB96" s="1186"/>
      <c r="AC96" s="1186"/>
      <c r="AD96" s="1186"/>
      <c r="AE96" s="1186"/>
      <c r="AF96" s="1186"/>
      <c r="AG96" s="1186"/>
      <c r="AH96" s="1186"/>
      <c r="AI96" s="1186"/>
      <c r="AJ96" s="1186"/>
      <c r="AK96" s="1186"/>
      <c r="AL96" s="1186"/>
      <c r="AM96" s="1186"/>
      <c r="AN96" s="1186"/>
      <c r="AO96" s="1186"/>
      <c r="AP96" s="1186"/>
      <c r="AQ96" s="1186"/>
      <c r="AR96" s="1186"/>
      <c r="AS96" s="1186"/>
      <c r="AT96" s="1186"/>
      <c r="AU96" s="1186"/>
      <c r="AV96" s="1186"/>
      <c r="AW96" s="1186"/>
      <c r="AX96" s="1186"/>
      <c r="AY96" s="1186"/>
      <c r="AZ96" s="1186"/>
      <c r="BA96" s="1186"/>
      <c r="BB96" s="1186"/>
      <c r="BC96" s="1186"/>
      <c r="BD96" s="1186"/>
      <c r="BE96" s="1186"/>
      <c r="BF96" s="1186"/>
    </row>
    <row r="97" spans="1:58" s="1187" customFormat="1" ht="23.25" customHeight="1">
      <c r="B97" s="1242" t="s">
        <v>185</v>
      </c>
      <c r="C97" s="1239"/>
      <c r="D97" s="1239"/>
      <c r="E97" s="1172">
        <v>0</v>
      </c>
      <c r="F97" s="1172">
        <v>0</v>
      </c>
      <c r="G97" s="1255">
        <f>(F97-E97)</f>
        <v>0</v>
      </c>
      <c r="H97" s="1241"/>
      <c r="I97" s="1232"/>
      <c r="J97" s="1186"/>
      <c r="K97" s="1186"/>
      <c r="L97" s="1186"/>
      <c r="M97" s="1186"/>
      <c r="N97" s="1186"/>
      <c r="O97" s="1186"/>
      <c r="P97" s="1186"/>
      <c r="Q97" s="1186"/>
      <c r="R97" s="1186"/>
      <c r="S97" s="1186"/>
      <c r="T97" s="1186"/>
      <c r="U97" s="1186"/>
      <c r="V97" s="1186"/>
      <c r="W97" s="1186"/>
      <c r="X97" s="1186"/>
      <c r="Y97" s="1186"/>
      <c r="Z97" s="1186"/>
      <c r="AA97" s="1186"/>
      <c r="AB97" s="1186"/>
      <c r="AC97" s="1186"/>
      <c r="AD97" s="1186"/>
      <c r="AE97" s="1186"/>
      <c r="AF97" s="1186"/>
      <c r="AG97" s="1186"/>
      <c r="AH97" s="1186"/>
      <c r="AI97" s="1186"/>
      <c r="AJ97" s="1186"/>
      <c r="AK97" s="1186"/>
      <c r="AL97" s="1186"/>
      <c r="AM97" s="1186"/>
      <c r="AN97" s="1186"/>
      <c r="AO97" s="1186"/>
      <c r="AP97" s="1186"/>
      <c r="AQ97" s="1186"/>
      <c r="AR97" s="1186"/>
      <c r="AS97" s="1186"/>
      <c r="AT97" s="1186"/>
      <c r="AU97" s="1186"/>
      <c r="AV97" s="1186"/>
      <c r="AW97" s="1186"/>
      <c r="AX97" s="1186"/>
      <c r="AY97" s="1186"/>
      <c r="AZ97" s="1186"/>
      <c r="BA97" s="1186"/>
      <c r="BB97" s="1186"/>
      <c r="BC97" s="1186"/>
      <c r="BD97" s="1186"/>
      <c r="BE97" s="1186"/>
      <c r="BF97" s="1186"/>
    </row>
    <row r="99" spans="1:58" ht="36" customHeight="1">
      <c r="A99" s="1258" t="s">
        <v>212</v>
      </c>
      <c r="B99" s="1259"/>
      <c r="C99" s="1259"/>
      <c r="D99" s="1259"/>
      <c r="E99" s="1260"/>
      <c r="F99" s="1261" t="s">
        <v>213</v>
      </c>
      <c r="R99" s="1188"/>
      <c r="S99" s="1188"/>
      <c r="T99" s="1188"/>
      <c r="U99" s="1188"/>
    </row>
    <row r="100" spans="1:58" ht="52.5" customHeight="1">
      <c r="A100" s="1262" t="s">
        <v>165</v>
      </c>
      <c r="B100" s="1263" t="s">
        <v>214</v>
      </c>
      <c r="C100" s="1264"/>
      <c r="D100" s="1264"/>
      <c r="E100" s="1265" t="s">
        <v>215</v>
      </c>
      <c r="F100" s="1176">
        <v>0.05</v>
      </c>
      <c r="R100" s="1188"/>
      <c r="S100" s="1188"/>
      <c r="T100" s="1188"/>
      <c r="U100" s="1188"/>
    </row>
    <row r="103" spans="1:58" ht="23.25" customHeight="1">
      <c r="A103" s="1266" t="s">
        <v>216</v>
      </c>
      <c r="B103" s="1266"/>
      <c r="C103" s="1266"/>
      <c r="D103" s="1266"/>
      <c r="E103" s="1266"/>
      <c r="F103" s="1266"/>
      <c r="G103" s="1208"/>
      <c r="R103" s="1188"/>
      <c r="S103" s="1188"/>
      <c r="T103" s="1188"/>
      <c r="U103" s="1188"/>
    </row>
    <row r="104" spans="1:58" ht="23.25" customHeight="1">
      <c r="A104" s="1266" t="s">
        <v>217</v>
      </c>
      <c r="B104" s="1266"/>
      <c r="C104" s="1266"/>
      <c r="D104" s="1266"/>
      <c r="E104" s="1266"/>
      <c r="F104" s="1266"/>
      <c r="G104" s="1267" t="s">
        <v>156</v>
      </c>
      <c r="R104" s="1188"/>
      <c r="S104" s="1188"/>
      <c r="T104" s="1188"/>
      <c r="U104" s="1188"/>
    </row>
    <row r="105" spans="1:58" ht="34.5" customHeight="1">
      <c r="A105" s="1268" t="s">
        <v>218</v>
      </c>
      <c r="B105" s="1269"/>
      <c r="C105" s="1269"/>
      <c r="D105" s="1269"/>
      <c r="E105" s="1269"/>
      <c r="F105" s="1270"/>
      <c r="G105" s="1271" t="s">
        <v>219</v>
      </c>
      <c r="R105" s="1188"/>
      <c r="S105" s="1188"/>
      <c r="T105" s="1188"/>
      <c r="U105" s="1188"/>
    </row>
    <row r="106" spans="1:58" ht="23.25" customHeight="1">
      <c r="A106" s="1212" t="s">
        <v>157</v>
      </c>
      <c r="B106" s="1272" t="s">
        <v>220</v>
      </c>
      <c r="C106" s="1272"/>
      <c r="D106" s="1272"/>
      <c r="E106" s="1272"/>
      <c r="F106" s="1272"/>
      <c r="G106" s="692">
        <v>30</v>
      </c>
      <c r="R106" s="1188"/>
      <c r="S106" s="1188"/>
      <c r="T106" s="1188"/>
      <c r="U106" s="1188"/>
    </row>
    <row r="107" spans="1:58" ht="31.5" customHeight="1">
      <c r="A107" s="1273" t="s">
        <v>159</v>
      </c>
      <c r="B107" s="1272" t="s">
        <v>221</v>
      </c>
      <c r="C107" s="1272"/>
      <c r="D107" s="1272"/>
      <c r="E107" s="1272"/>
      <c r="F107" s="1272"/>
      <c r="G107" s="1177">
        <v>8.5149000000000008</v>
      </c>
      <c r="R107" s="1188"/>
      <c r="S107" s="1188"/>
      <c r="T107" s="1188"/>
      <c r="U107" s="1188"/>
    </row>
    <row r="110" spans="1:58" ht="23.25" customHeight="1">
      <c r="A110" s="1206" t="s">
        <v>222</v>
      </c>
      <c r="B110" s="1207"/>
      <c r="C110" s="1207"/>
      <c r="D110" s="1207"/>
      <c r="E110" s="1207"/>
      <c r="F110" s="1207"/>
      <c r="G110" s="1208"/>
      <c r="S110" s="1188"/>
      <c r="T110" s="1188"/>
      <c r="U110" s="1188"/>
    </row>
    <row r="111" spans="1:58" ht="23.25" customHeight="1">
      <c r="A111" s="1209" t="s">
        <v>223</v>
      </c>
      <c r="B111" s="1230"/>
      <c r="C111" s="1230"/>
      <c r="D111" s="1230"/>
      <c r="E111" s="1230"/>
      <c r="F111" s="1230"/>
      <c r="G111" s="1212" t="s">
        <v>224</v>
      </c>
      <c r="S111" s="1188"/>
      <c r="T111" s="1188"/>
      <c r="U111" s="1188"/>
    </row>
    <row r="112" spans="1:58" ht="23.25" customHeight="1">
      <c r="A112" s="1274" t="s">
        <v>157</v>
      </c>
      <c r="B112" s="1275" t="s">
        <v>225</v>
      </c>
      <c r="C112" s="1276"/>
      <c r="D112" s="1276"/>
      <c r="E112" s="1276"/>
      <c r="F112" s="1277"/>
      <c r="G112" s="1178">
        <v>0.03</v>
      </c>
      <c r="S112" s="1188"/>
      <c r="T112" s="1188"/>
      <c r="U112" s="1188"/>
    </row>
    <row r="113" spans="1:21" ht="23.25" customHeight="1">
      <c r="A113" s="1274" t="s">
        <v>159</v>
      </c>
      <c r="B113" s="1275" t="s">
        <v>226</v>
      </c>
      <c r="C113" s="1276"/>
      <c r="D113" s="1276"/>
      <c r="E113" s="1276"/>
      <c r="F113" s="1277"/>
      <c r="G113" s="1178">
        <v>6.7900000000000002E-2</v>
      </c>
      <c r="S113" s="1188"/>
      <c r="T113" s="1188"/>
      <c r="U113" s="1188"/>
    </row>
    <row r="114" spans="1:21" ht="23.25" customHeight="1">
      <c r="A114" s="1278" t="s">
        <v>161</v>
      </c>
      <c r="B114" s="1228" t="s">
        <v>227</v>
      </c>
      <c r="C114" s="1211"/>
      <c r="D114" s="1211"/>
      <c r="E114" s="1211"/>
      <c r="F114" s="1211"/>
      <c r="G114" s="1211"/>
    </row>
    <row r="115" spans="1:21" ht="23.25" customHeight="1">
      <c r="A115" s="1278"/>
      <c r="B115" s="1279" t="s">
        <v>228</v>
      </c>
      <c r="C115" s="1280"/>
      <c r="D115" s="1209" t="s">
        <v>229</v>
      </c>
      <c r="E115" s="1230"/>
      <c r="F115" s="1230"/>
      <c r="G115" s="1179">
        <v>1.6500000000000001E-2</v>
      </c>
      <c r="S115" s="1188"/>
      <c r="T115" s="1188"/>
      <c r="U115" s="1188"/>
    </row>
    <row r="116" spans="1:21" ht="23.25" customHeight="1">
      <c r="A116" s="1278"/>
      <c r="B116" s="1281"/>
      <c r="C116" s="1282"/>
      <c r="D116" s="1209" t="s">
        <v>230</v>
      </c>
      <c r="E116" s="1230"/>
      <c r="F116" s="1230"/>
      <c r="G116" s="1179">
        <v>7.5999999999999998E-2</v>
      </c>
      <c r="S116" s="1188"/>
      <c r="T116" s="1188"/>
      <c r="U116" s="1188"/>
    </row>
    <row r="117" spans="1:21" ht="23.25" customHeight="1">
      <c r="A117" s="1278"/>
      <c r="B117" s="1283"/>
      <c r="C117" s="1284"/>
      <c r="D117" s="1180" t="s">
        <v>231</v>
      </c>
      <c r="E117" s="1181"/>
      <c r="F117" s="1181"/>
      <c r="G117" s="1179"/>
      <c r="S117" s="1188"/>
      <c r="T117" s="1188"/>
      <c r="U117" s="1188"/>
    </row>
    <row r="121" spans="1:21" ht="23.25" customHeight="1">
      <c r="A121" s="1285" t="s">
        <v>232</v>
      </c>
      <c r="B121" s="1286"/>
      <c r="C121" s="1286"/>
      <c r="D121" s="1287"/>
      <c r="E121" s="1288">
        <v>2</v>
      </c>
    </row>
    <row r="122" spans="1:21" ht="23.25" customHeight="1">
      <c r="A122" s="1285" t="s">
        <v>233</v>
      </c>
      <c r="B122" s="1286"/>
      <c r="C122" s="1286"/>
      <c r="D122" s="1287"/>
      <c r="E122" s="1288">
        <v>4</v>
      </c>
    </row>
    <row r="123" spans="1:21" ht="40.5" customHeight="1">
      <c r="A123" s="1285" t="s">
        <v>234</v>
      </c>
      <c r="B123" s="1286"/>
      <c r="C123" s="1286"/>
      <c r="D123" s="1287"/>
      <c r="E123" s="684">
        <v>0.06</v>
      </c>
    </row>
    <row r="124" spans="1:21" ht="23.25" customHeight="1">
      <c r="A124" s="1285" t="s">
        <v>235</v>
      </c>
      <c r="B124" s="1286"/>
      <c r="C124" s="1286"/>
      <c r="D124" s="1287"/>
      <c r="E124" s="685">
        <v>15</v>
      </c>
    </row>
    <row r="125" spans="1:21" ht="23.25" customHeight="1">
      <c r="A125" s="1285" t="s">
        <v>236</v>
      </c>
      <c r="B125" s="1286"/>
      <c r="C125" s="1286"/>
      <c r="D125" s="1287"/>
      <c r="E125" s="1288">
        <v>22</v>
      </c>
    </row>
    <row r="126" spans="1:21" ht="23.25" customHeight="1">
      <c r="A126" s="1285" t="s">
        <v>237</v>
      </c>
      <c r="B126" s="1286"/>
      <c r="C126" s="1286"/>
      <c r="D126" s="1287"/>
      <c r="E126" s="1289">
        <v>1518</v>
      </c>
    </row>
    <row r="127" spans="1:21" ht="23.25" customHeight="1">
      <c r="A127" s="1290" t="s">
        <v>238</v>
      </c>
      <c r="B127" s="1291"/>
      <c r="C127" s="1291"/>
      <c r="D127" s="1292"/>
      <c r="E127" s="1293" t="s">
        <v>239</v>
      </c>
    </row>
    <row r="128" spans="1:21" ht="23.25" customHeight="1">
      <c r="A128" s="1293" t="s">
        <v>240</v>
      </c>
      <c r="B128" s="1189"/>
      <c r="C128" s="1294">
        <v>10.71</v>
      </c>
      <c r="D128" s="1295">
        <v>0.35</v>
      </c>
      <c r="E128" s="1296">
        <f>(D128*C128)+(D129*C129)</f>
        <v>7.3170000000000002</v>
      </c>
    </row>
    <row r="129" spans="1:5" ht="23.25" customHeight="1">
      <c r="A129" s="1293" t="s">
        <v>241</v>
      </c>
      <c r="B129" s="1189"/>
      <c r="C129" s="1294">
        <v>5.49</v>
      </c>
      <c r="D129" s="1295">
        <v>0.65</v>
      </c>
      <c r="E129" s="1297"/>
    </row>
    <row r="130" spans="1:5" ht="33" customHeight="1">
      <c r="A130" s="1298" t="s">
        <v>242</v>
      </c>
      <c r="B130" s="1298"/>
      <c r="C130" s="1298"/>
      <c r="D130" s="1298"/>
      <c r="E130" s="1298"/>
    </row>
    <row r="131" spans="1:5" ht="40.5" customHeight="1">
      <c r="A131" s="1299"/>
      <c r="B131" s="1299"/>
      <c r="C131" s="1299"/>
      <c r="D131" s="1299"/>
      <c r="E131" s="1299"/>
    </row>
    <row r="132" spans="1:5" ht="23.25" customHeight="1">
      <c r="A132" s="1300"/>
      <c r="B132" s="1300"/>
      <c r="C132" s="1300"/>
      <c r="D132" s="1300"/>
      <c r="E132" s="1300"/>
    </row>
  </sheetData>
  <mergeCells count="24">
    <mergeCell ref="E128:E129"/>
    <mergeCell ref="A114:A117"/>
    <mergeCell ref="A126:D126"/>
    <mergeCell ref="A121:D121"/>
    <mergeCell ref="A125:D125"/>
    <mergeCell ref="A122:D122"/>
    <mergeCell ref="A123:D123"/>
    <mergeCell ref="A124:D124"/>
    <mergeCell ref="A130:E131"/>
    <mergeCell ref="B112:F112"/>
    <mergeCell ref="B113:F113"/>
    <mergeCell ref="B115:C117"/>
    <mergeCell ref="C1:O1"/>
    <mergeCell ref="A103:F103"/>
    <mergeCell ref="A104:F104"/>
    <mergeCell ref="A105:F105"/>
    <mergeCell ref="B106:F106"/>
    <mergeCell ref="B107:F107"/>
    <mergeCell ref="A99:E99"/>
    <mergeCell ref="A2:G2"/>
    <mergeCell ref="G47:G48"/>
    <mergeCell ref="B47:B48"/>
    <mergeCell ref="B100:D100"/>
    <mergeCell ref="A127:C127"/>
  </mergeCells>
  <phoneticPr fontId="87" type="noConversion"/>
  <conditionalFormatting sqref="F100">
    <cfRule type="cellIs" dxfId="3" priority="1" operator="lessThan">
      <formula>0.05</formula>
    </cfRule>
  </conditionalFormatting>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3682F-A66C-4B06-8BA4-9651AA7424B2}">
  <dimension ref="A1:K45"/>
  <sheetViews>
    <sheetView showGridLines="0" topLeftCell="A13" zoomScale="93" zoomScaleNormal="93" workbookViewId="0">
      <selection activeCell="D13" sqref="D13"/>
    </sheetView>
  </sheetViews>
  <sheetFormatPr defaultRowHeight="12.75"/>
  <cols>
    <col min="1" max="1" width="9" style="655" customWidth="1"/>
    <col min="2" max="2" width="9" style="655"/>
    <col min="3" max="3" width="41.75" style="655" customWidth="1"/>
    <col min="4" max="4" width="11.5" style="655" customWidth="1"/>
    <col min="5" max="5" width="2.625" style="655" customWidth="1"/>
    <col min="6" max="6" width="2.5" style="655" customWidth="1"/>
    <col min="7" max="7" width="9" style="657" customWidth="1"/>
    <col min="8" max="8" width="41.75" style="657" customWidth="1"/>
    <col min="9" max="9" width="11.5" style="658" customWidth="1"/>
    <col min="10" max="10" width="10.125" style="655" customWidth="1"/>
    <col min="11" max="11" width="9" style="655" customWidth="1"/>
    <col min="12" max="16384" width="9" style="655"/>
  </cols>
  <sheetData>
    <row r="1" spans="1:11" ht="57" customHeight="1">
      <c r="A1" s="654"/>
      <c r="B1" s="843" t="s">
        <v>243</v>
      </c>
      <c r="C1" s="843"/>
      <c r="D1" s="843"/>
      <c r="E1" s="843"/>
      <c r="F1" s="843"/>
      <c r="G1" s="843"/>
      <c r="H1" s="843"/>
      <c r="I1" s="843"/>
      <c r="J1" s="843"/>
    </row>
    <row r="2" spans="1:11" s="697" customFormat="1" ht="39.75" customHeight="1" thickBot="1">
      <c r="A2" s="827" t="s">
        <v>2</v>
      </c>
      <c r="B2" s="827"/>
      <c r="C2" s="827"/>
      <c r="D2" s="827"/>
      <c r="E2" s="827"/>
      <c r="F2" s="827"/>
      <c r="G2" s="827"/>
      <c r="H2" s="696"/>
      <c r="I2" s="696"/>
      <c r="J2" s="696"/>
    </row>
    <row r="3" spans="1:11" ht="14.25" customHeight="1" thickTop="1">
      <c r="B3" s="844" t="s">
        <v>244</v>
      </c>
      <c r="C3" s="845"/>
      <c r="D3" s="846"/>
      <c r="E3" s="770"/>
      <c r="F3" s="770"/>
      <c r="G3" s="844" t="s">
        <v>245</v>
      </c>
      <c r="H3" s="845"/>
      <c r="I3" s="846"/>
    </row>
    <row r="4" spans="1:11" ht="14.25" customHeight="1">
      <c r="B4" s="850" t="s">
        <v>246</v>
      </c>
      <c r="C4" s="851"/>
      <c r="D4" s="852"/>
      <c r="E4" s="770"/>
      <c r="F4" s="770"/>
      <c r="G4" s="836" t="s">
        <v>247</v>
      </c>
      <c r="H4" s="837"/>
      <c r="I4" s="838"/>
    </row>
    <row r="5" spans="1:11" ht="14.25" customHeight="1">
      <c r="B5" s="836" t="s">
        <v>248</v>
      </c>
      <c r="C5" s="837"/>
      <c r="D5" s="838"/>
      <c r="E5" s="770"/>
      <c r="F5" s="770"/>
      <c r="G5" s="836" t="s">
        <v>248</v>
      </c>
      <c r="H5" s="837"/>
      <c r="I5" s="838"/>
    </row>
    <row r="6" spans="1:11" ht="14.25" customHeight="1">
      <c r="B6" s="839"/>
      <c r="C6" s="840"/>
      <c r="D6" s="841"/>
      <c r="E6" s="770"/>
      <c r="F6" s="770"/>
      <c r="G6" s="839"/>
      <c r="H6" s="840"/>
      <c r="I6" s="841"/>
    </row>
    <row r="7" spans="1:11" ht="14.25" customHeight="1">
      <c r="B7" s="812" t="s">
        <v>249</v>
      </c>
      <c r="C7" s="813" t="s">
        <v>250</v>
      </c>
      <c r="D7" s="771" t="s">
        <v>251</v>
      </c>
      <c r="E7" s="770"/>
      <c r="F7" s="770"/>
      <c r="G7" s="812" t="s">
        <v>249</v>
      </c>
      <c r="H7" s="813" t="s">
        <v>250</v>
      </c>
      <c r="I7" s="771" t="s">
        <v>251</v>
      </c>
    </row>
    <row r="8" spans="1:11" ht="14.25" customHeight="1">
      <c r="B8" s="812">
        <v>1</v>
      </c>
      <c r="C8" s="772" t="s">
        <v>252</v>
      </c>
      <c r="D8" s="1301">
        <v>0.04</v>
      </c>
      <c r="E8" s="770"/>
      <c r="F8" s="770"/>
      <c r="G8" s="812">
        <v>1</v>
      </c>
      <c r="H8" s="772" t="s">
        <v>252</v>
      </c>
      <c r="I8" s="1301">
        <v>3.4500000000000003E-2</v>
      </c>
    </row>
    <row r="9" spans="1:11" ht="14.25" customHeight="1">
      <c r="B9" s="812">
        <v>2</v>
      </c>
      <c r="C9" s="772" t="s">
        <v>253</v>
      </c>
      <c r="D9" s="773">
        <f>D18</f>
        <v>2.07E-2</v>
      </c>
      <c r="E9" s="770"/>
      <c r="F9" s="770"/>
      <c r="G9" s="812">
        <v>2</v>
      </c>
      <c r="H9" s="772" t="s">
        <v>253</v>
      </c>
      <c r="I9" s="773">
        <f>I18</f>
        <v>1.3299999999999999E-2</v>
      </c>
    </row>
    <row r="10" spans="1:11" ht="14.25" customHeight="1">
      <c r="B10" s="812">
        <v>3</v>
      </c>
      <c r="C10" s="772" t="s">
        <v>254</v>
      </c>
      <c r="D10" s="1301">
        <v>1.23E-2</v>
      </c>
      <c r="E10" s="770"/>
      <c r="F10" s="770"/>
      <c r="G10" s="812">
        <v>3</v>
      </c>
      <c r="H10" s="772" t="s">
        <v>254</v>
      </c>
      <c r="I10" s="1301">
        <v>8.5000000000000006E-3</v>
      </c>
      <c r="K10" s="656"/>
    </row>
    <row r="11" spans="1:11" ht="14.25" customHeight="1">
      <c r="B11" s="812">
        <v>4</v>
      </c>
      <c r="C11" s="772" t="s">
        <v>255</v>
      </c>
      <c r="D11" s="773">
        <f>D24</f>
        <v>8.6499999999999994E-2</v>
      </c>
      <c r="E11" s="770"/>
      <c r="F11" s="770"/>
      <c r="G11" s="812">
        <v>4</v>
      </c>
      <c r="H11" s="772" t="s">
        <v>255</v>
      </c>
      <c r="I11" s="773">
        <v>3.6499999999999998E-2</v>
      </c>
      <c r="K11" s="656"/>
    </row>
    <row r="12" spans="1:11" ht="14.25" customHeight="1">
      <c r="B12" s="812">
        <v>5</v>
      </c>
      <c r="C12" s="772" t="s">
        <v>256</v>
      </c>
      <c r="D12" s="1301">
        <v>7.3999999999999996E-2</v>
      </c>
      <c r="E12" s="770"/>
      <c r="F12" s="770"/>
      <c r="G12" s="812">
        <v>5</v>
      </c>
      <c r="H12" s="772" t="s">
        <v>256</v>
      </c>
      <c r="I12" s="1301">
        <v>5.11E-2</v>
      </c>
    </row>
    <row r="13" spans="1:11" ht="14.25" customHeight="1">
      <c r="B13" s="829" t="s">
        <v>257</v>
      </c>
      <c r="C13" s="830"/>
      <c r="D13" s="774">
        <f>ROUND(((1+(D8+D17+D16))*(1+D10)*(1+D12)/(1-D24))-1,4)</f>
        <v>0.26240000000000002</v>
      </c>
      <c r="E13" s="770"/>
      <c r="F13" s="770"/>
      <c r="G13" s="829" t="s">
        <v>258</v>
      </c>
      <c r="H13" s="830"/>
      <c r="I13" s="773">
        <f>ROUND(((1+(I8+I17+I16))*(1+I10)*(1+I12)/(1-I24))-1,4)</f>
        <v>0.15279999999999999</v>
      </c>
    </row>
    <row r="14" spans="1:11" ht="14.25" customHeight="1">
      <c r="B14" s="831" t="s">
        <v>259</v>
      </c>
      <c r="C14" s="832"/>
      <c r="D14" s="833"/>
      <c r="E14" s="770"/>
      <c r="F14" s="770"/>
      <c r="G14" s="831" t="s">
        <v>259</v>
      </c>
      <c r="H14" s="832"/>
      <c r="I14" s="833"/>
    </row>
    <row r="15" spans="1:11" ht="14.25" customHeight="1">
      <c r="B15" s="812">
        <v>2</v>
      </c>
      <c r="C15" s="813" t="s">
        <v>260</v>
      </c>
      <c r="D15" s="771" t="s">
        <v>251</v>
      </c>
      <c r="E15" s="770"/>
      <c r="F15" s="770"/>
      <c r="G15" s="812">
        <v>2</v>
      </c>
      <c r="H15" s="813" t="s">
        <v>260</v>
      </c>
      <c r="I15" s="771" t="s">
        <v>251</v>
      </c>
    </row>
    <row r="16" spans="1:11" ht="14.25" customHeight="1">
      <c r="B16" s="814" t="s">
        <v>261</v>
      </c>
      <c r="C16" s="772" t="s">
        <v>262</v>
      </c>
      <c r="D16" s="1302">
        <v>8.0000000000000002E-3</v>
      </c>
      <c r="E16" s="770"/>
      <c r="F16" s="770"/>
      <c r="G16" s="814" t="s">
        <v>261</v>
      </c>
      <c r="H16" s="772" t="s">
        <v>262</v>
      </c>
      <c r="I16" s="1301">
        <v>4.7999999999999996E-3</v>
      </c>
    </row>
    <row r="17" spans="2:9" ht="14.25" customHeight="1">
      <c r="B17" s="814" t="s">
        <v>263</v>
      </c>
      <c r="C17" s="772" t="s">
        <v>264</v>
      </c>
      <c r="D17" s="1301">
        <v>1.2699999999999999E-2</v>
      </c>
      <c r="E17" s="770"/>
      <c r="F17" s="770"/>
      <c r="G17" s="814" t="s">
        <v>263</v>
      </c>
      <c r="H17" s="772" t="s">
        <v>264</v>
      </c>
      <c r="I17" s="1301">
        <v>8.5000000000000006E-3</v>
      </c>
    </row>
    <row r="18" spans="2:9" ht="14.25" customHeight="1">
      <c r="B18" s="834" t="s">
        <v>175</v>
      </c>
      <c r="C18" s="835"/>
      <c r="D18" s="775">
        <f>SUM(D16:D17)</f>
        <v>2.07E-2</v>
      </c>
      <c r="E18" s="770"/>
      <c r="F18" s="770"/>
      <c r="G18" s="834" t="s">
        <v>175</v>
      </c>
      <c r="H18" s="835"/>
      <c r="I18" s="775">
        <f>SUM(I16:I17)</f>
        <v>1.3299999999999999E-2</v>
      </c>
    </row>
    <row r="19" spans="2:9" ht="14.25" customHeight="1">
      <c r="B19" s="834"/>
      <c r="C19" s="835"/>
      <c r="D19" s="847"/>
      <c r="E19" s="770"/>
      <c r="F19" s="770"/>
      <c r="G19" s="834"/>
      <c r="H19" s="835"/>
      <c r="I19" s="847"/>
    </row>
    <row r="20" spans="2:9" ht="14.25" customHeight="1">
      <c r="B20" s="812">
        <v>4</v>
      </c>
      <c r="C20" s="813" t="s">
        <v>265</v>
      </c>
      <c r="D20" s="771" t="s">
        <v>251</v>
      </c>
      <c r="E20" s="770"/>
      <c r="F20" s="770"/>
      <c r="G20" s="812">
        <v>4</v>
      </c>
      <c r="H20" s="813" t="s">
        <v>265</v>
      </c>
      <c r="I20" s="771" t="s">
        <v>251</v>
      </c>
    </row>
    <row r="21" spans="2:9" ht="14.25" customHeight="1">
      <c r="B21" s="814" t="s">
        <v>266</v>
      </c>
      <c r="C21" s="815" t="s">
        <v>267</v>
      </c>
      <c r="D21" s="1301">
        <v>0.05</v>
      </c>
      <c r="E21" s="770"/>
      <c r="F21" s="770"/>
      <c r="G21" s="814" t="s">
        <v>266</v>
      </c>
      <c r="H21" s="815" t="s">
        <v>267</v>
      </c>
      <c r="I21" s="1301">
        <v>0</v>
      </c>
    </row>
    <row r="22" spans="2:9" ht="14.25" customHeight="1">
      <c r="B22" s="814" t="s">
        <v>268</v>
      </c>
      <c r="C22" s="815" t="s">
        <v>269</v>
      </c>
      <c r="D22" s="1301">
        <v>6.4999999999999997E-3</v>
      </c>
      <c r="E22" s="770"/>
      <c r="F22" s="770"/>
      <c r="G22" s="814" t="s">
        <v>268</v>
      </c>
      <c r="H22" s="815" t="s">
        <v>269</v>
      </c>
      <c r="I22" s="1301">
        <v>6.4999999999999997E-3</v>
      </c>
    </row>
    <row r="23" spans="2:9" ht="14.25" customHeight="1">
      <c r="B23" s="814" t="s">
        <v>270</v>
      </c>
      <c r="C23" s="815" t="s">
        <v>271</v>
      </c>
      <c r="D23" s="1301">
        <v>0.03</v>
      </c>
      <c r="E23" s="770"/>
      <c r="F23" s="770"/>
      <c r="G23" s="814" t="s">
        <v>270</v>
      </c>
      <c r="H23" s="815" t="s">
        <v>271</v>
      </c>
      <c r="I23" s="1301">
        <v>0.03</v>
      </c>
    </row>
    <row r="24" spans="2:9" ht="14.25" customHeight="1" thickBot="1">
      <c r="B24" s="848" t="s">
        <v>175</v>
      </c>
      <c r="C24" s="849"/>
      <c r="D24" s="776">
        <f>SUM(D21:D23)</f>
        <v>8.6499999999999994E-2</v>
      </c>
      <c r="E24" s="770"/>
      <c r="F24" s="770"/>
      <c r="G24" s="848" t="s">
        <v>175</v>
      </c>
      <c r="H24" s="849"/>
      <c r="I24" s="776">
        <f>SUM(I21:I23)</f>
        <v>3.6499999999999998E-2</v>
      </c>
    </row>
    <row r="25" spans="2:9" ht="14.25" customHeight="1" thickTop="1">
      <c r="B25" s="842" t="s">
        <v>272</v>
      </c>
      <c r="C25" s="842"/>
      <c r="D25" s="842"/>
      <c r="E25" s="770"/>
      <c r="F25" s="770"/>
      <c r="G25" s="842" t="s">
        <v>272</v>
      </c>
      <c r="H25" s="842"/>
      <c r="I25" s="842"/>
    </row>
    <row r="26" spans="2:9" ht="14.25" customHeight="1">
      <c r="B26" s="777"/>
      <c r="C26" s="777"/>
      <c r="D26" s="778"/>
      <c r="E26" s="770"/>
      <c r="F26" s="770"/>
      <c r="G26" s="777"/>
      <c r="H26" s="777"/>
      <c r="I26" s="778"/>
    </row>
    <row r="27" spans="2:9" ht="14.25" customHeight="1">
      <c r="B27" s="828" t="s">
        <v>273</v>
      </c>
      <c r="C27" s="828"/>
      <c r="D27" s="828"/>
      <c r="E27" s="770"/>
      <c r="F27" s="770"/>
      <c r="G27" s="828" t="s">
        <v>273</v>
      </c>
      <c r="H27" s="828"/>
      <c r="I27" s="828"/>
    </row>
    <row r="28" spans="2:9" ht="14.25" customHeight="1">
      <c r="B28" s="828" t="s">
        <v>274</v>
      </c>
      <c r="C28" s="828"/>
      <c r="D28" s="828"/>
      <c r="E28" s="770"/>
      <c r="F28" s="770"/>
      <c r="G28" s="828" t="s">
        <v>274</v>
      </c>
      <c r="H28" s="828"/>
      <c r="I28" s="828"/>
    </row>
    <row r="29" spans="2:9" ht="14.25" customHeight="1">
      <c r="B29" s="777"/>
      <c r="C29" s="777"/>
      <c r="D29" s="778"/>
      <c r="E29" s="770"/>
      <c r="F29" s="770"/>
      <c r="G29" s="777"/>
      <c r="H29" s="777"/>
      <c r="I29" s="778"/>
    </row>
    <row r="30" spans="2:9" ht="14.25" customHeight="1">
      <c r="B30" s="777" t="s">
        <v>275</v>
      </c>
      <c r="C30" s="777"/>
      <c r="D30" s="778"/>
      <c r="E30" s="770"/>
      <c r="F30" s="770"/>
      <c r="G30" s="777" t="s">
        <v>275</v>
      </c>
      <c r="H30" s="777"/>
      <c r="I30" s="778"/>
    </row>
    <row r="31" spans="2:9" ht="14.25" customHeight="1">
      <c r="B31" s="777" t="s">
        <v>276</v>
      </c>
      <c r="C31" s="777"/>
      <c r="D31" s="778"/>
      <c r="E31" s="770"/>
      <c r="F31" s="770"/>
      <c r="G31" s="777" t="s">
        <v>276</v>
      </c>
      <c r="H31" s="777"/>
      <c r="I31" s="778"/>
    </row>
    <row r="32" spans="2:9" ht="14.25" customHeight="1">
      <c r="B32" s="777" t="s">
        <v>277</v>
      </c>
      <c r="C32" s="777"/>
      <c r="D32" s="778"/>
      <c r="E32" s="770"/>
      <c r="F32" s="770"/>
      <c r="G32" s="777" t="s">
        <v>277</v>
      </c>
      <c r="H32" s="777"/>
      <c r="I32" s="778"/>
    </row>
    <row r="33" spans="2:9" ht="14.25" customHeight="1">
      <c r="B33" s="777" t="s">
        <v>278</v>
      </c>
      <c r="C33" s="777"/>
      <c r="D33" s="778"/>
      <c r="E33" s="770"/>
      <c r="F33" s="770"/>
      <c r="G33" s="777" t="s">
        <v>278</v>
      </c>
      <c r="H33" s="777"/>
      <c r="I33" s="778"/>
    </row>
    <row r="34" spans="2:9" ht="14.25" customHeight="1">
      <c r="B34" s="777" t="s">
        <v>279</v>
      </c>
      <c r="C34" s="777"/>
      <c r="D34" s="778"/>
      <c r="E34" s="770"/>
      <c r="F34" s="770"/>
      <c r="G34" s="777" t="s">
        <v>279</v>
      </c>
      <c r="H34" s="777"/>
      <c r="I34" s="778"/>
    </row>
    <row r="35" spans="2:9" ht="14.25" customHeight="1">
      <c r="B35" s="777" t="s">
        <v>280</v>
      </c>
      <c r="C35" s="777"/>
      <c r="D35" s="778"/>
      <c r="E35" s="770"/>
      <c r="F35" s="770"/>
      <c r="G35" s="777" t="s">
        <v>280</v>
      </c>
      <c r="H35" s="777"/>
      <c r="I35" s="778"/>
    </row>
    <row r="36" spans="2:9" ht="14.25" customHeight="1">
      <c r="B36" s="777" t="s">
        <v>281</v>
      </c>
      <c r="C36" s="777"/>
      <c r="D36" s="778"/>
      <c r="E36" s="770"/>
      <c r="F36" s="770"/>
      <c r="G36" s="777" t="s">
        <v>281</v>
      </c>
      <c r="H36" s="777"/>
      <c r="I36" s="778"/>
    </row>
    <row r="38" spans="2:9" ht="14.25" customHeight="1">
      <c r="H38" s="659"/>
      <c r="I38" s="657"/>
    </row>
    <row r="42" spans="2:9" ht="14.25" customHeight="1">
      <c r="H42" s="660"/>
    </row>
    <row r="43" spans="2:9" ht="14.25" customHeight="1">
      <c r="H43" s="660"/>
    </row>
    <row r="44" spans="2:9" ht="14.25" customHeight="1">
      <c r="H44" s="660"/>
    </row>
    <row r="45" spans="2:9" ht="14.25" customHeight="1">
      <c r="H45" s="660"/>
    </row>
  </sheetData>
  <mergeCells count="26">
    <mergeCell ref="B1:J1"/>
    <mergeCell ref="G28:I28"/>
    <mergeCell ref="B3:D3"/>
    <mergeCell ref="G3:I3"/>
    <mergeCell ref="G13:H13"/>
    <mergeCell ref="G14:I14"/>
    <mergeCell ref="G18:H18"/>
    <mergeCell ref="G19:I19"/>
    <mergeCell ref="G24:H24"/>
    <mergeCell ref="B19:D19"/>
    <mergeCell ref="B24:C24"/>
    <mergeCell ref="B25:D25"/>
    <mergeCell ref="B27:D27"/>
    <mergeCell ref="B28:D28"/>
    <mergeCell ref="G4:I4"/>
    <mergeCell ref="B4:D4"/>
    <mergeCell ref="G27:I27"/>
    <mergeCell ref="B13:C13"/>
    <mergeCell ref="B14:D14"/>
    <mergeCell ref="B18:C18"/>
    <mergeCell ref="A2:G2"/>
    <mergeCell ref="B5:D5"/>
    <mergeCell ref="G5:I5"/>
    <mergeCell ref="G6:I6"/>
    <mergeCell ref="B6:D6"/>
    <mergeCell ref="G25:I25"/>
  </mergeCells>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31">
    <tabColor theme="9" tint="0.39997558519241921"/>
  </sheetPr>
  <dimension ref="A1:K27"/>
  <sheetViews>
    <sheetView showGridLines="0" topLeftCell="A4" zoomScale="98" zoomScaleNormal="98" workbookViewId="0">
      <selection activeCell="G17" sqref="G17"/>
    </sheetView>
  </sheetViews>
  <sheetFormatPr defaultRowHeight="12"/>
  <cols>
    <col min="1" max="1" width="9" style="596"/>
    <col min="2" max="2" width="65.5" style="596" customWidth="1"/>
    <col min="3" max="3" width="9" style="596"/>
    <col min="4" max="4" width="18.875" style="596" customWidth="1"/>
    <col min="5" max="5" width="16.125" style="596" bestFit="1" customWidth="1"/>
    <col min="6" max="6" width="15.25" style="596" bestFit="1" customWidth="1"/>
    <col min="7" max="7" width="16.25" style="596" bestFit="1" customWidth="1"/>
    <col min="8" max="16384" width="9" style="596"/>
  </cols>
  <sheetData>
    <row r="1" spans="1:11" s="655" customFormat="1" ht="54.75" customHeight="1">
      <c r="A1" s="654"/>
      <c r="B1" s="843" t="s">
        <v>243</v>
      </c>
      <c r="C1" s="843"/>
      <c r="D1" s="843"/>
      <c r="E1" s="843"/>
      <c r="F1" s="843"/>
      <c r="G1" s="843"/>
      <c r="H1" s="596"/>
      <c r="I1" s="596"/>
      <c r="J1" s="596"/>
      <c r="K1" s="596"/>
    </row>
    <row r="2" spans="1:11" ht="26.25">
      <c r="A2" s="827" t="s">
        <v>2</v>
      </c>
      <c r="B2" s="827"/>
      <c r="C2" s="827"/>
      <c r="D2" s="827"/>
      <c r="E2" s="827"/>
      <c r="F2" s="827"/>
      <c r="G2" s="827"/>
    </row>
    <row r="3" spans="1:11" s="507" customFormat="1" ht="43.5" customHeight="1">
      <c r="A3" s="859" t="s">
        <v>282</v>
      </c>
      <c r="B3" s="860"/>
      <c r="C3" s="860"/>
      <c r="D3" s="860"/>
      <c r="E3" s="860"/>
      <c r="F3" s="860"/>
      <c r="G3" s="860"/>
      <c r="H3" s="596"/>
    </row>
    <row r="4" spans="1:11" ht="38.25">
      <c r="B4" s="661" t="s">
        <v>283</v>
      </c>
      <c r="C4" s="662" t="s">
        <v>284</v>
      </c>
      <c r="D4" s="663" t="s">
        <v>285</v>
      </c>
      <c r="E4" s="664" t="s">
        <v>286</v>
      </c>
      <c r="F4" s="664" t="s">
        <v>287</v>
      </c>
      <c r="G4" s="664" t="s">
        <v>288</v>
      </c>
    </row>
    <row r="5" spans="1:11" ht="12.75">
      <c r="B5" s="678" t="s">
        <v>289</v>
      </c>
      <c r="C5" s="675">
        <v>610599</v>
      </c>
      <c r="D5" s="1303">
        <v>40.5</v>
      </c>
      <c r="E5" s="666">
        <v>2</v>
      </c>
      <c r="F5" s="809">
        <f>D5*E5</f>
        <v>81</v>
      </c>
      <c r="G5" s="807">
        <f>ROUND(F5/6,2)</f>
        <v>13.5</v>
      </c>
    </row>
    <row r="6" spans="1:11" ht="25.5">
      <c r="B6" s="678" t="s">
        <v>290</v>
      </c>
      <c r="C6" s="675">
        <v>468567</v>
      </c>
      <c r="D6" s="1303">
        <v>55</v>
      </c>
      <c r="E6" s="666">
        <v>2</v>
      </c>
      <c r="F6" s="809">
        <f t="shared" ref="F6:F9" si="0">D6*E6</f>
        <v>110</v>
      </c>
      <c r="G6" s="807">
        <f t="shared" ref="G6:G9" si="1">ROUND(F6/6,2)</f>
        <v>18.329999999999998</v>
      </c>
    </row>
    <row r="7" spans="1:11" ht="15" customHeight="1">
      <c r="B7" s="678" t="s">
        <v>291</v>
      </c>
      <c r="C7" s="676">
        <v>382962</v>
      </c>
      <c r="D7" s="1303">
        <v>72</v>
      </c>
      <c r="E7" s="666">
        <v>1</v>
      </c>
      <c r="F7" s="809">
        <f t="shared" si="0"/>
        <v>72</v>
      </c>
      <c r="G7" s="807">
        <f t="shared" si="1"/>
        <v>12</v>
      </c>
    </row>
    <row r="8" spans="1:11" ht="15" customHeight="1">
      <c r="B8" s="678" t="s">
        <v>292</v>
      </c>
      <c r="C8" s="676">
        <v>458678</v>
      </c>
      <c r="D8" s="1303">
        <v>43.81</v>
      </c>
      <c r="E8" s="666">
        <v>1</v>
      </c>
      <c r="F8" s="809">
        <f t="shared" si="0"/>
        <v>43.81</v>
      </c>
      <c r="G8" s="807">
        <f t="shared" si="1"/>
        <v>7.3</v>
      </c>
    </row>
    <row r="9" spans="1:11" ht="25.5">
      <c r="B9" s="678" t="s">
        <v>293</v>
      </c>
      <c r="C9" s="675">
        <v>613376</v>
      </c>
      <c r="D9" s="1303">
        <v>63</v>
      </c>
      <c r="E9" s="666">
        <v>1</v>
      </c>
      <c r="F9" s="809">
        <f t="shared" si="0"/>
        <v>63</v>
      </c>
      <c r="G9" s="807">
        <f t="shared" si="1"/>
        <v>10.5</v>
      </c>
      <c r="H9" s="597"/>
      <c r="I9" s="597"/>
    </row>
    <row r="10" spans="1:11" ht="12.75">
      <c r="B10" s="678" t="s">
        <v>294</v>
      </c>
      <c r="C10" s="676">
        <v>446321</v>
      </c>
      <c r="D10" s="1303">
        <v>7</v>
      </c>
      <c r="E10" s="666">
        <v>5</v>
      </c>
      <c r="F10" s="809">
        <f>D10*E10</f>
        <v>35</v>
      </c>
      <c r="G10" s="807">
        <f>ROUND(F10/6,2)</f>
        <v>5.83</v>
      </c>
    </row>
    <row r="11" spans="1:11" ht="12.75">
      <c r="B11" s="678" t="s">
        <v>295</v>
      </c>
      <c r="C11" s="676" t="s">
        <v>296</v>
      </c>
      <c r="D11" s="1303">
        <v>6.64</v>
      </c>
      <c r="E11" s="668">
        <v>1</v>
      </c>
      <c r="F11" s="809">
        <f>D11*E11</f>
        <v>6.64</v>
      </c>
      <c r="G11" s="807">
        <f>ROUND(F11/6,2)</f>
        <v>1.1100000000000001</v>
      </c>
    </row>
    <row r="12" spans="1:11" ht="21.75" customHeight="1">
      <c r="B12" s="853" t="s">
        <v>297</v>
      </c>
      <c r="C12" s="854"/>
      <c r="D12" s="854"/>
      <c r="E12" s="855"/>
      <c r="F12" s="810">
        <f>SUM(F5:F10)</f>
        <v>404.81</v>
      </c>
      <c r="G12" s="808">
        <f>SUM(G5:G11)</f>
        <v>68.569999999999993</v>
      </c>
    </row>
    <row r="13" spans="1:11" ht="12.75" customHeight="1">
      <c r="B13" s="670"/>
      <c r="C13" s="655"/>
      <c r="D13" s="670"/>
      <c r="E13" s="670"/>
      <c r="F13" s="670"/>
      <c r="G13" s="670"/>
    </row>
    <row r="14" spans="1:11" ht="12.75" customHeight="1">
      <c r="B14" s="670"/>
      <c r="C14" s="655"/>
      <c r="D14" s="670"/>
      <c r="E14" s="670"/>
      <c r="F14" s="670"/>
      <c r="G14" s="670"/>
    </row>
    <row r="15" spans="1:11" s="598" customFormat="1" ht="25.5">
      <c r="B15" s="664" t="s">
        <v>298</v>
      </c>
      <c r="C15" s="671"/>
      <c r="D15" s="664" t="s">
        <v>285</v>
      </c>
      <c r="E15" s="672" t="s">
        <v>299</v>
      </c>
      <c r="F15" s="667" t="s">
        <v>300</v>
      </c>
      <c r="G15" s="667" t="s">
        <v>288</v>
      </c>
    </row>
    <row r="16" spans="1:11" ht="12.75">
      <c r="B16" s="677" t="s">
        <v>301</v>
      </c>
      <c r="C16" s="665">
        <v>601994</v>
      </c>
      <c r="D16" s="1304">
        <v>14.45</v>
      </c>
      <c r="E16" s="673">
        <v>1</v>
      </c>
      <c r="F16" s="667">
        <f>D16*E16</f>
        <v>14.45</v>
      </c>
      <c r="G16" s="674">
        <f t="shared" ref="G16:G23" si="2">ROUND(F16/12,2)</f>
        <v>1.2</v>
      </c>
    </row>
    <row r="17" spans="2:8" ht="12.75">
      <c r="B17" s="677" t="s">
        <v>302</v>
      </c>
      <c r="C17" s="665">
        <v>485913</v>
      </c>
      <c r="D17" s="1304">
        <v>174.15</v>
      </c>
      <c r="E17" s="673">
        <v>1</v>
      </c>
      <c r="F17" s="667">
        <f t="shared" ref="F17:F23" si="3">D17*E17</f>
        <v>174.15</v>
      </c>
      <c r="G17" s="674">
        <f t="shared" si="2"/>
        <v>14.51</v>
      </c>
    </row>
    <row r="18" spans="2:8" ht="12.75">
      <c r="B18" s="677" t="s">
        <v>303</v>
      </c>
      <c r="C18" s="665">
        <v>322303</v>
      </c>
      <c r="D18" s="1304">
        <v>58</v>
      </c>
      <c r="E18" s="673">
        <v>1</v>
      </c>
      <c r="F18" s="667">
        <f t="shared" si="3"/>
        <v>58</v>
      </c>
      <c r="G18" s="674">
        <f t="shared" si="2"/>
        <v>4.83</v>
      </c>
    </row>
    <row r="19" spans="2:8" ht="12.75">
      <c r="B19" s="677" t="s">
        <v>304</v>
      </c>
      <c r="C19" s="665">
        <v>481392</v>
      </c>
      <c r="D19" s="1304">
        <v>43.5</v>
      </c>
      <c r="E19" s="673">
        <v>4</v>
      </c>
      <c r="F19" s="667">
        <f t="shared" si="3"/>
        <v>174</v>
      </c>
      <c r="G19" s="674">
        <f t="shared" si="2"/>
        <v>14.5</v>
      </c>
    </row>
    <row r="20" spans="2:8" ht="12.75">
      <c r="B20" s="677" t="s">
        <v>305</v>
      </c>
      <c r="C20" s="665">
        <v>617120</v>
      </c>
      <c r="D20" s="1304">
        <v>31.99</v>
      </c>
      <c r="E20" s="673">
        <v>1</v>
      </c>
      <c r="F20" s="667">
        <f t="shared" si="3"/>
        <v>31.99</v>
      </c>
      <c r="G20" s="674">
        <f t="shared" si="2"/>
        <v>2.67</v>
      </c>
    </row>
    <row r="21" spans="2:8" ht="12.75">
      <c r="B21" s="677" t="s">
        <v>306</v>
      </c>
      <c r="C21" s="665">
        <v>615979</v>
      </c>
      <c r="D21" s="1304">
        <v>48.99</v>
      </c>
      <c r="E21" s="673">
        <v>4</v>
      </c>
      <c r="F21" s="667">
        <f t="shared" si="3"/>
        <v>195.96</v>
      </c>
      <c r="G21" s="674">
        <f t="shared" si="2"/>
        <v>16.329999999999998</v>
      </c>
    </row>
    <row r="22" spans="2:8" ht="12.75">
      <c r="B22" s="677" t="s">
        <v>307</v>
      </c>
      <c r="C22" s="665">
        <v>618293</v>
      </c>
      <c r="D22" s="1304">
        <v>11.6</v>
      </c>
      <c r="E22" s="673">
        <v>1</v>
      </c>
      <c r="F22" s="667">
        <f t="shared" si="3"/>
        <v>11.6</v>
      </c>
      <c r="G22" s="674">
        <f t="shared" si="2"/>
        <v>0.97</v>
      </c>
    </row>
    <row r="23" spans="2:8" ht="12.75">
      <c r="B23" s="677" t="s">
        <v>308</v>
      </c>
      <c r="C23" s="665">
        <v>618290</v>
      </c>
      <c r="D23" s="1304">
        <v>1.65</v>
      </c>
      <c r="E23" s="673">
        <v>4</v>
      </c>
      <c r="F23" s="667">
        <f t="shared" si="3"/>
        <v>6.6</v>
      </c>
      <c r="G23" s="674">
        <f t="shared" si="2"/>
        <v>0.55000000000000004</v>
      </c>
    </row>
    <row r="24" spans="2:8" ht="22.5" customHeight="1">
      <c r="B24" s="853" t="s">
        <v>309</v>
      </c>
      <c r="C24" s="854"/>
      <c r="D24" s="854"/>
      <c r="E24" s="855"/>
      <c r="F24" s="669">
        <f>SUM(F16:F23)</f>
        <v>666.75000000000011</v>
      </c>
      <c r="G24" s="694">
        <f>SUM(G16:G23)</f>
        <v>55.559999999999995</v>
      </c>
    </row>
    <row r="25" spans="2:8" ht="23.25" customHeight="1">
      <c r="B25" s="856" t="s">
        <v>310</v>
      </c>
      <c r="C25" s="857"/>
      <c r="D25" s="857"/>
      <c r="E25" s="857"/>
      <c r="F25" s="858"/>
      <c r="G25" s="695">
        <f>ROUND(G12+G24,2)</f>
        <v>124.13</v>
      </c>
    </row>
    <row r="27" spans="2:8">
      <c r="H27" s="632"/>
    </row>
  </sheetData>
  <mergeCells count="6">
    <mergeCell ref="B1:G1"/>
    <mergeCell ref="B12:E12"/>
    <mergeCell ref="B24:E24"/>
    <mergeCell ref="B25:F25"/>
    <mergeCell ref="A2:G2"/>
    <mergeCell ref="A3:G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B9314-B42F-467A-836C-301159A3DDC9}">
  <dimension ref="A1:M125"/>
  <sheetViews>
    <sheetView showGridLines="0" workbookViewId="0">
      <selection activeCell="G5" sqref="G5:G115"/>
    </sheetView>
  </sheetViews>
  <sheetFormatPr defaultRowHeight="12"/>
  <cols>
    <col min="1" max="1" width="9" style="1315"/>
    <col min="2" max="2" width="76.25" style="1315" customWidth="1"/>
    <col min="3" max="3" width="9" style="1315"/>
    <col min="4" max="4" width="13.375" style="1338" bestFit="1" customWidth="1"/>
    <col min="5" max="6" width="9" style="1315"/>
    <col min="7" max="7" width="13.5" style="1315" customWidth="1"/>
    <col min="8" max="8" width="18.375" style="1339" customWidth="1"/>
    <col min="9" max="9" width="10.5" style="1315" hidden="1" customWidth="1"/>
    <col min="10" max="16384" width="9" style="1315"/>
  </cols>
  <sheetData>
    <row r="1" spans="1:11" s="1184" customFormat="1" ht="54.75" customHeight="1">
      <c r="A1" s="1182"/>
      <c r="B1" s="1305" t="s">
        <v>1</v>
      </c>
      <c r="C1" s="1305"/>
      <c r="D1" s="1305"/>
      <c r="E1" s="1305"/>
      <c r="F1" s="1305"/>
      <c r="G1" s="1305"/>
      <c r="H1" s="1305"/>
      <c r="I1" s="1306"/>
      <c r="J1" s="1306"/>
      <c r="K1" s="1306"/>
    </row>
    <row r="2" spans="1:11" s="1184" customFormat="1" ht="54.75" customHeight="1" thickBot="1">
      <c r="A2" s="1307" t="s">
        <v>2</v>
      </c>
      <c r="B2" s="1307"/>
      <c r="C2" s="1307"/>
      <c r="D2" s="1307"/>
      <c r="E2" s="1307"/>
      <c r="F2" s="1307"/>
      <c r="G2" s="1307"/>
      <c r="H2" s="1307"/>
      <c r="I2" s="1306"/>
      <c r="J2" s="1306"/>
      <c r="K2" s="1306"/>
    </row>
    <row r="3" spans="1:11" s="1310" customFormat="1" ht="43.5" customHeight="1" thickBot="1">
      <c r="A3" s="1308" t="s">
        <v>282</v>
      </c>
      <c r="B3" s="1309"/>
      <c r="C3" s="1309"/>
      <c r="D3" s="1309"/>
      <c r="E3" s="1309"/>
      <c r="F3" s="1309"/>
      <c r="G3" s="1309"/>
      <c r="H3" s="1309"/>
    </row>
    <row r="4" spans="1:11" ht="48" thickBot="1">
      <c r="A4" s="1311" t="s">
        <v>3</v>
      </c>
      <c r="B4" s="1311" t="s">
        <v>311</v>
      </c>
      <c r="C4" s="1311" t="s">
        <v>312</v>
      </c>
      <c r="D4" s="1311" t="s">
        <v>313</v>
      </c>
      <c r="E4" s="1311" t="s">
        <v>314</v>
      </c>
      <c r="F4" s="1311" t="s">
        <v>315</v>
      </c>
      <c r="G4" s="1312" t="s">
        <v>316</v>
      </c>
      <c r="H4" s="1313" t="s">
        <v>317</v>
      </c>
      <c r="I4" s="1314" t="s">
        <v>318</v>
      </c>
    </row>
    <row r="5" spans="1:11">
      <c r="A5" s="1316">
        <v>1</v>
      </c>
      <c r="B5" s="1317" t="s">
        <v>319</v>
      </c>
      <c r="C5" s="1318" t="s">
        <v>320</v>
      </c>
      <c r="D5" s="1319">
        <v>468618</v>
      </c>
      <c r="E5" s="1320">
        <v>10</v>
      </c>
      <c r="F5" s="1318">
        <v>60</v>
      </c>
      <c r="G5" s="599">
        <v>214.56</v>
      </c>
      <c r="H5" s="1321">
        <f t="shared" ref="H5:H69" si="0">(G5*E5)/F5</f>
        <v>35.76</v>
      </c>
      <c r="I5" s="1322">
        <f t="shared" ref="I5" si="1">(H5*F5)/G5</f>
        <v>10</v>
      </c>
    </row>
    <row r="6" spans="1:11">
      <c r="A6" s="1323">
        <v>2</v>
      </c>
      <c r="B6" s="1324" t="s">
        <v>321</v>
      </c>
      <c r="C6" s="1325" t="s">
        <v>320</v>
      </c>
      <c r="D6" s="1319">
        <v>612101</v>
      </c>
      <c r="E6" s="1320">
        <v>10</v>
      </c>
      <c r="F6" s="1318">
        <v>60</v>
      </c>
      <c r="G6" s="600">
        <v>299.64</v>
      </c>
      <c r="H6" s="1321">
        <f t="shared" si="0"/>
        <v>49.939999999999991</v>
      </c>
      <c r="I6" s="1315">
        <v>238.5</v>
      </c>
    </row>
    <row r="7" spans="1:11">
      <c r="A7" s="1316">
        <v>3</v>
      </c>
      <c r="B7" s="1324" t="s">
        <v>322</v>
      </c>
      <c r="C7" s="1325" t="s">
        <v>320</v>
      </c>
      <c r="D7" s="1319">
        <v>331040</v>
      </c>
      <c r="E7" s="1320">
        <v>17</v>
      </c>
      <c r="F7" s="1318">
        <v>60</v>
      </c>
      <c r="G7" s="600">
        <v>58.55</v>
      </c>
      <c r="H7" s="1321">
        <f t="shared" si="0"/>
        <v>16.589166666666664</v>
      </c>
      <c r="I7" s="1315">
        <v>40</v>
      </c>
    </row>
    <row r="8" spans="1:11">
      <c r="A8" s="1323">
        <v>4</v>
      </c>
      <c r="B8" s="1324" t="s">
        <v>323</v>
      </c>
      <c r="C8" s="1325" t="s">
        <v>324</v>
      </c>
      <c r="D8" s="1319" t="s">
        <v>325</v>
      </c>
      <c r="E8" s="1320">
        <v>17</v>
      </c>
      <c r="F8" s="1318">
        <v>60</v>
      </c>
      <c r="G8" s="600">
        <v>627.86</v>
      </c>
      <c r="H8" s="1321">
        <f t="shared" si="0"/>
        <v>177.89366666666669</v>
      </c>
    </row>
    <row r="9" spans="1:11">
      <c r="A9" s="1316">
        <v>5</v>
      </c>
      <c r="B9" s="1324" t="s">
        <v>326</v>
      </c>
      <c r="C9" s="1325" t="s">
        <v>320</v>
      </c>
      <c r="D9" s="1319" t="s">
        <v>327</v>
      </c>
      <c r="E9" s="1320">
        <v>17</v>
      </c>
      <c r="F9" s="1318">
        <v>60</v>
      </c>
      <c r="G9" s="600">
        <v>1061.99</v>
      </c>
      <c r="H9" s="1321">
        <f t="shared" si="0"/>
        <v>300.89716666666669</v>
      </c>
    </row>
    <row r="10" spans="1:11">
      <c r="A10" s="1323">
        <v>6</v>
      </c>
      <c r="B10" s="1324" t="s">
        <v>328</v>
      </c>
      <c r="C10" s="1325" t="s">
        <v>320</v>
      </c>
      <c r="D10" s="1319" t="s">
        <v>329</v>
      </c>
      <c r="E10" s="1320">
        <v>17</v>
      </c>
      <c r="F10" s="1318">
        <v>60</v>
      </c>
      <c r="G10" s="600">
        <v>172.84</v>
      </c>
      <c r="H10" s="1321">
        <f t="shared" si="0"/>
        <v>48.971333333333334</v>
      </c>
    </row>
    <row r="11" spans="1:11">
      <c r="A11" s="1316">
        <v>7</v>
      </c>
      <c r="B11" s="1324" t="s">
        <v>330</v>
      </c>
      <c r="C11" s="1325" t="s">
        <v>324</v>
      </c>
      <c r="D11" s="1319" t="s">
        <v>331</v>
      </c>
      <c r="E11" s="1320">
        <v>17</v>
      </c>
      <c r="F11" s="1318">
        <v>60</v>
      </c>
      <c r="G11" s="600">
        <v>1050</v>
      </c>
      <c r="H11" s="1321">
        <f t="shared" si="0"/>
        <v>297.5</v>
      </c>
    </row>
    <row r="12" spans="1:11" ht="24">
      <c r="A12" s="1323">
        <v>8</v>
      </c>
      <c r="B12" s="1324" t="s">
        <v>332</v>
      </c>
      <c r="C12" s="1325" t="s">
        <v>320</v>
      </c>
      <c r="D12" s="1319">
        <v>354551</v>
      </c>
      <c r="E12" s="1320">
        <v>17</v>
      </c>
      <c r="F12" s="1318">
        <v>60</v>
      </c>
      <c r="G12" s="600">
        <v>33.020000000000003</v>
      </c>
      <c r="H12" s="1321">
        <f t="shared" si="0"/>
        <v>9.3556666666666679</v>
      </c>
      <c r="I12" s="1315">
        <v>31.76</v>
      </c>
    </row>
    <row r="13" spans="1:11" ht="36">
      <c r="A13" s="1316">
        <v>9</v>
      </c>
      <c r="B13" s="1324" t="s">
        <v>333</v>
      </c>
      <c r="C13" s="1325" t="s">
        <v>320</v>
      </c>
      <c r="D13" s="1319">
        <v>235471</v>
      </c>
      <c r="E13" s="1320">
        <v>17</v>
      </c>
      <c r="F13" s="1318">
        <v>60</v>
      </c>
      <c r="G13" s="600">
        <v>42.63</v>
      </c>
      <c r="H13" s="1321">
        <f t="shared" si="0"/>
        <v>12.0785</v>
      </c>
      <c r="I13" s="1315">
        <v>38.299999999999997</v>
      </c>
    </row>
    <row r="14" spans="1:11">
      <c r="A14" s="1323">
        <v>10</v>
      </c>
      <c r="B14" s="1324" t="s">
        <v>334</v>
      </c>
      <c r="C14" s="1325" t="s">
        <v>320</v>
      </c>
      <c r="D14" s="1319">
        <v>457831</v>
      </c>
      <c r="E14" s="1320">
        <v>17</v>
      </c>
      <c r="F14" s="1318">
        <v>60</v>
      </c>
      <c r="G14" s="600">
        <v>104.23</v>
      </c>
      <c r="H14" s="1321">
        <f t="shared" si="0"/>
        <v>29.531833333333335</v>
      </c>
      <c r="I14" s="1315">
        <v>97</v>
      </c>
    </row>
    <row r="15" spans="1:11" ht="24">
      <c r="A15" s="1316">
        <v>11</v>
      </c>
      <c r="B15" s="1324" t="s">
        <v>335</v>
      </c>
      <c r="C15" s="1325" t="s">
        <v>320</v>
      </c>
      <c r="D15" s="1319">
        <v>253348</v>
      </c>
      <c r="E15" s="1320">
        <v>17</v>
      </c>
      <c r="F15" s="1318">
        <v>60</v>
      </c>
      <c r="G15" s="600">
        <v>57.84</v>
      </c>
      <c r="H15" s="1321">
        <f t="shared" si="0"/>
        <v>16.388000000000002</v>
      </c>
      <c r="I15" s="1315">
        <v>29.65</v>
      </c>
    </row>
    <row r="16" spans="1:11" ht="24">
      <c r="A16" s="1323">
        <v>12</v>
      </c>
      <c r="B16" s="1324" t="s">
        <v>336</v>
      </c>
      <c r="C16" s="1325" t="s">
        <v>320</v>
      </c>
      <c r="D16" s="1319">
        <v>288117</v>
      </c>
      <c r="E16" s="1320">
        <v>17</v>
      </c>
      <c r="F16" s="1318">
        <v>60</v>
      </c>
      <c r="G16" s="600">
        <v>30</v>
      </c>
      <c r="H16" s="1321">
        <f t="shared" si="0"/>
        <v>8.5</v>
      </c>
      <c r="I16" s="1315">
        <v>25.02</v>
      </c>
    </row>
    <row r="17" spans="1:9">
      <c r="A17" s="1316">
        <v>13</v>
      </c>
      <c r="B17" s="1324" t="s">
        <v>337</v>
      </c>
      <c r="C17" s="1325" t="s">
        <v>320</v>
      </c>
      <c r="D17" s="1319">
        <v>445372</v>
      </c>
      <c r="E17" s="1320">
        <v>17</v>
      </c>
      <c r="F17" s="1318">
        <v>60</v>
      </c>
      <c r="G17" s="600">
        <v>34.979999999999997</v>
      </c>
      <c r="H17" s="1321">
        <f t="shared" si="0"/>
        <v>9.9109999999999996</v>
      </c>
      <c r="I17" s="1315">
        <v>24.18</v>
      </c>
    </row>
    <row r="18" spans="1:9" ht="24">
      <c r="A18" s="1323">
        <v>14</v>
      </c>
      <c r="B18" s="1324" t="s">
        <v>338</v>
      </c>
      <c r="C18" s="1325" t="s">
        <v>320</v>
      </c>
      <c r="D18" s="1319">
        <v>265028</v>
      </c>
      <c r="E18" s="1320">
        <v>17</v>
      </c>
      <c r="F18" s="1318">
        <v>60</v>
      </c>
      <c r="G18" s="600">
        <v>29.19</v>
      </c>
      <c r="H18" s="1321">
        <f t="shared" si="0"/>
        <v>8.2705000000000002</v>
      </c>
      <c r="I18" s="1315">
        <v>25</v>
      </c>
    </row>
    <row r="19" spans="1:9" ht="24">
      <c r="A19" s="1316">
        <v>15</v>
      </c>
      <c r="B19" s="1324" t="s">
        <v>339</v>
      </c>
      <c r="C19" s="1325" t="s">
        <v>320</v>
      </c>
      <c r="D19" s="1319">
        <v>359769</v>
      </c>
      <c r="E19" s="1320">
        <v>17</v>
      </c>
      <c r="F19" s="1318">
        <v>60</v>
      </c>
      <c r="G19" s="600">
        <v>133.09</v>
      </c>
      <c r="H19" s="1321">
        <f t="shared" si="0"/>
        <v>37.708833333333338</v>
      </c>
      <c r="I19" s="1315">
        <v>130.13</v>
      </c>
    </row>
    <row r="20" spans="1:9" ht="24">
      <c r="A20" s="1323">
        <v>16</v>
      </c>
      <c r="B20" s="1324" t="s">
        <v>340</v>
      </c>
      <c r="C20" s="1325" t="s">
        <v>320</v>
      </c>
      <c r="D20" s="1319">
        <v>465868</v>
      </c>
      <c r="E20" s="1320">
        <v>17</v>
      </c>
      <c r="F20" s="1318">
        <v>60</v>
      </c>
      <c r="G20" s="600">
        <v>9.6</v>
      </c>
      <c r="H20" s="1321">
        <f t="shared" si="0"/>
        <v>2.7199999999999998</v>
      </c>
      <c r="I20" s="1315">
        <v>7.2</v>
      </c>
    </row>
    <row r="21" spans="1:9" ht="36">
      <c r="A21" s="1316">
        <v>17</v>
      </c>
      <c r="B21" s="1324" t="s">
        <v>341</v>
      </c>
      <c r="C21" s="1325" t="s">
        <v>320</v>
      </c>
      <c r="D21" s="1319">
        <v>465869</v>
      </c>
      <c r="E21" s="1320">
        <v>17</v>
      </c>
      <c r="F21" s="1318">
        <v>60</v>
      </c>
      <c r="G21" s="600">
        <v>12.34</v>
      </c>
      <c r="H21" s="1321">
        <f t="shared" si="0"/>
        <v>3.4963333333333333</v>
      </c>
      <c r="I21" s="1315">
        <v>9.58</v>
      </c>
    </row>
    <row r="22" spans="1:9">
      <c r="A22" s="1323">
        <v>18</v>
      </c>
      <c r="B22" s="1327" t="s">
        <v>342</v>
      </c>
      <c r="C22" s="1325" t="s">
        <v>320</v>
      </c>
      <c r="D22" s="1319">
        <v>468625</v>
      </c>
      <c r="E22" s="1320">
        <v>17</v>
      </c>
      <c r="F22" s="1318">
        <v>60</v>
      </c>
      <c r="G22" s="600">
        <v>200.46</v>
      </c>
      <c r="H22" s="1321">
        <f t="shared" si="0"/>
        <v>56.797000000000004</v>
      </c>
      <c r="I22" s="1315">
        <v>150</v>
      </c>
    </row>
    <row r="23" spans="1:9" ht="24">
      <c r="A23" s="1316">
        <v>19</v>
      </c>
      <c r="B23" s="1324" t="s">
        <v>343</v>
      </c>
      <c r="C23" s="1325" t="s">
        <v>320</v>
      </c>
      <c r="D23" s="1319">
        <v>486505</v>
      </c>
      <c r="E23" s="1320">
        <v>17</v>
      </c>
      <c r="F23" s="1318">
        <v>60</v>
      </c>
      <c r="G23" s="600">
        <v>48.04</v>
      </c>
      <c r="H23" s="1321">
        <f t="shared" si="0"/>
        <v>13.611333333333333</v>
      </c>
      <c r="I23" s="1315">
        <v>36.270000000000003</v>
      </c>
    </row>
    <row r="24" spans="1:9">
      <c r="A24" s="1316">
        <v>21</v>
      </c>
      <c r="B24" s="1324" t="s">
        <v>344</v>
      </c>
      <c r="C24" s="1325" t="s">
        <v>320</v>
      </c>
      <c r="D24" s="1319">
        <v>602156</v>
      </c>
      <c r="E24" s="1320">
        <v>17</v>
      </c>
      <c r="F24" s="1318">
        <v>60</v>
      </c>
      <c r="G24" s="600">
        <v>42.03</v>
      </c>
      <c r="H24" s="1321">
        <f t="shared" si="0"/>
        <v>11.9085</v>
      </c>
      <c r="I24" s="1315">
        <v>35.82</v>
      </c>
    </row>
    <row r="25" spans="1:9">
      <c r="A25" s="1323">
        <v>22</v>
      </c>
      <c r="B25" s="1324" t="s">
        <v>345</v>
      </c>
      <c r="C25" s="1325" t="s">
        <v>320</v>
      </c>
      <c r="D25" s="1319">
        <v>377432</v>
      </c>
      <c r="E25" s="1320">
        <v>17</v>
      </c>
      <c r="F25" s="1318">
        <v>60</v>
      </c>
      <c r="G25" s="600">
        <v>111.1</v>
      </c>
      <c r="H25" s="1321">
        <f t="shared" si="0"/>
        <v>31.478333333333332</v>
      </c>
      <c r="I25" s="1315">
        <v>87.02</v>
      </c>
    </row>
    <row r="26" spans="1:9">
      <c r="A26" s="1316">
        <v>23</v>
      </c>
      <c r="B26" s="1324" t="s">
        <v>346</v>
      </c>
      <c r="C26" s="1325" t="s">
        <v>320</v>
      </c>
      <c r="D26" s="1319">
        <v>602158</v>
      </c>
      <c r="E26" s="1320">
        <v>17</v>
      </c>
      <c r="F26" s="1318">
        <v>60</v>
      </c>
      <c r="G26" s="600">
        <v>41.18</v>
      </c>
      <c r="H26" s="1321">
        <f t="shared" si="0"/>
        <v>11.667666666666666</v>
      </c>
      <c r="I26" s="1315">
        <v>30</v>
      </c>
    </row>
    <row r="27" spans="1:9">
      <c r="A27" s="1323">
        <v>24</v>
      </c>
      <c r="B27" s="1324" t="s">
        <v>347</v>
      </c>
      <c r="C27" s="1325" t="s">
        <v>320</v>
      </c>
      <c r="D27" s="1319">
        <v>602157</v>
      </c>
      <c r="E27" s="1320">
        <v>17</v>
      </c>
      <c r="F27" s="1318">
        <v>60</v>
      </c>
      <c r="G27" s="600">
        <v>100.33</v>
      </c>
      <c r="H27" s="1321">
        <f t="shared" si="0"/>
        <v>28.426833333333331</v>
      </c>
      <c r="I27" s="1315">
        <v>75.91</v>
      </c>
    </row>
    <row r="28" spans="1:9">
      <c r="A28" s="1316">
        <v>25</v>
      </c>
      <c r="B28" s="1324" t="s">
        <v>348</v>
      </c>
      <c r="C28" s="1325" t="s">
        <v>320</v>
      </c>
      <c r="D28" s="1319">
        <v>238629</v>
      </c>
      <c r="E28" s="1320">
        <v>17</v>
      </c>
      <c r="F28" s="1318">
        <v>60</v>
      </c>
      <c r="G28" s="600">
        <v>15.34</v>
      </c>
      <c r="H28" s="1321">
        <f t="shared" si="0"/>
        <v>4.3463333333333329</v>
      </c>
      <c r="I28" s="1315">
        <v>9.09</v>
      </c>
    </row>
    <row r="29" spans="1:9" ht="36">
      <c r="A29" s="1323">
        <v>26</v>
      </c>
      <c r="B29" s="1324" t="s">
        <v>349</v>
      </c>
      <c r="C29" s="1325" t="s">
        <v>320</v>
      </c>
      <c r="D29" s="1319" t="s">
        <v>350</v>
      </c>
      <c r="E29" s="1320">
        <v>17</v>
      </c>
      <c r="F29" s="1318">
        <v>60</v>
      </c>
      <c r="G29" s="600">
        <v>20.9</v>
      </c>
      <c r="H29" s="1321">
        <f t="shared" si="0"/>
        <v>5.921666666666666</v>
      </c>
      <c r="I29" s="1315">
        <v>19.13</v>
      </c>
    </row>
    <row r="30" spans="1:9" ht="36">
      <c r="A30" s="1316">
        <v>27</v>
      </c>
      <c r="B30" s="1324" t="s">
        <v>351</v>
      </c>
      <c r="C30" s="1325" t="s">
        <v>320</v>
      </c>
      <c r="D30" s="1319">
        <v>389055</v>
      </c>
      <c r="E30" s="1320">
        <v>17</v>
      </c>
      <c r="F30" s="1318">
        <v>60</v>
      </c>
      <c r="G30" s="600">
        <v>45.62</v>
      </c>
      <c r="H30" s="1321">
        <f t="shared" si="0"/>
        <v>12.925666666666666</v>
      </c>
      <c r="I30" s="1315">
        <v>18.329999999999998</v>
      </c>
    </row>
    <row r="31" spans="1:9" ht="36">
      <c r="A31" s="1323">
        <v>28</v>
      </c>
      <c r="B31" s="1324" t="s">
        <v>352</v>
      </c>
      <c r="C31" s="1325" t="s">
        <v>320</v>
      </c>
      <c r="D31" s="1319">
        <v>468508</v>
      </c>
      <c r="E31" s="1320">
        <v>17</v>
      </c>
      <c r="F31" s="1318">
        <v>60</v>
      </c>
      <c r="G31" s="600">
        <v>8.44</v>
      </c>
      <c r="H31" s="1321">
        <f t="shared" si="0"/>
        <v>2.3913333333333333</v>
      </c>
      <c r="I31" s="1315">
        <v>6.32</v>
      </c>
    </row>
    <row r="32" spans="1:9" ht="36">
      <c r="A32" s="1316">
        <v>29</v>
      </c>
      <c r="B32" s="1324" t="s">
        <v>353</v>
      </c>
      <c r="C32" s="1325" t="s">
        <v>320</v>
      </c>
      <c r="D32" s="1319">
        <v>483651</v>
      </c>
      <c r="E32" s="1320">
        <v>17</v>
      </c>
      <c r="F32" s="1318">
        <v>60</v>
      </c>
      <c r="G32" s="600">
        <v>13.95</v>
      </c>
      <c r="H32" s="1321">
        <f t="shared" si="0"/>
        <v>3.9524999999999997</v>
      </c>
      <c r="I32" s="1315">
        <v>10.5</v>
      </c>
    </row>
    <row r="33" spans="1:9" ht="36">
      <c r="A33" s="1323">
        <v>30</v>
      </c>
      <c r="B33" s="1324" t="s">
        <v>354</v>
      </c>
      <c r="C33" s="1325" t="s">
        <v>320</v>
      </c>
      <c r="D33" s="1319">
        <v>615967</v>
      </c>
      <c r="E33" s="1320">
        <v>17</v>
      </c>
      <c r="F33" s="1318">
        <v>60</v>
      </c>
      <c r="G33" s="600">
        <v>23.13</v>
      </c>
      <c r="H33" s="1321">
        <f t="shared" si="0"/>
        <v>6.5534999999999997</v>
      </c>
      <c r="I33" s="1315">
        <v>12.16</v>
      </c>
    </row>
    <row r="34" spans="1:9" ht="24">
      <c r="A34" s="1316">
        <v>31</v>
      </c>
      <c r="B34" s="1324" t="s">
        <v>355</v>
      </c>
      <c r="C34" s="1325" t="s">
        <v>320</v>
      </c>
      <c r="D34" s="1319">
        <v>483652</v>
      </c>
      <c r="E34" s="1320">
        <v>17</v>
      </c>
      <c r="F34" s="1318">
        <v>60</v>
      </c>
      <c r="G34" s="600">
        <v>12.96</v>
      </c>
      <c r="H34" s="1321">
        <f t="shared" si="0"/>
        <v>3.6720000000000002</v>
      </c>
      <c r="I34" s="1315">
        <v>8.98</v>
      </c>
    </row>
    <row r="35" spans="1:9" ht="24">
      <c r="A35" s="1323">
        <v>32</v>
      </c>
      <c r="B35" s="1324" t="s">
        <v>356</v>
      </c>
      <c r="C35" s="1325" t="s">
        <v>320</v>
      </c>
      <c r="D35" s="1319">
        <v>301298</v>
      </c>
      <c r="E35" s="1320">
        <v>17</v>
      </c>
      <c r="F35" s="1318">
        <v>60</v>
      </c>
      <c r="G35" s="600">
        <v>7.09</v>
      </c>
      <c r="H35" s="1321">
        <f t="shared" si="0"/>
        <v>2.0088333333333335</v>
      </c>
      <c r="I35" s="1315">
        <v>4.29</v>
      </c>
    </row>
    <row r="36" spans="1:9" ht="24">
      <c r="A36" s="1316">
        <v>33</v>
      </c>
      <c r="B36" s="1324" t="s">
        <v>357</v>
      </c>
      <c r="C36" s="1325" t="s">
        <v>320</v>
      </c>
      <c r="D36" s="1319">
        <v>468509</v>
      </c>
      <c r="E36" s="1320">
        <v>17</v>
      </c>
      <c r="F36" s="1318">
        <v>60</v>
      </c>
      <c r="G36" s="600">
        <v>11.14</v>
      </c>
      <c r="H36" s="1321">
        <f t="shared" si="0"/>
        <v>3.1563333333333334</v>
      </c>
      <c r="I36" s="1315">
        <v>6.5</v>
      </c>
    </row>
    <row r="37" spans="1:9">
      <c r="A37" s="1323">
        <v>34</v>
      </c>
      <c r="B37" s="1328" t="s">
        <v>358</v>
      </c>
      <c r="C37" s="1325" t="s">
        <v>320</v>
      </c>
      <c r="D37" s="1319">
        <v>474815</v>
      </c>
      <c r="E37" s="1320">
        <v>17</v>
      </c>
      <c r="F37" s="1318">
        <v>60</v>
      </c>
      <c r="G37" s="600">
        <v>97.67</v>
      </c>
      <c r="H37" s="1321">
        <f t="shared" si="0"/>
        <v>27.673166666666667</v>
      </c>
      <c r="I37" s="1315">
        <v>68.98</v>
      </c>
    </row>
    <row r="38" spans="1:9">
      <c r="A38" s="1316">
        <v>35</v>
      </c>
      <c r="B38" s="1324" t="s">
        <v>359</v>
      </c>
      <c r="C38" s="1325" t="s">
        <v>320</v>
      </c>
      <c r="D38" s="1319">
        <v>375979</v>
      </c>
      <c r="E38" s="1320">
        <v>17</v>
      </c>
      <c r="F38" s="1318">
        <v>60</v>
      </c>
      <c r="G38" s="600">
        <v>54</v>
      </c>
      <c r="H38" s="1321">
        <f t="shared" si="0"/>
        <v>15.3</v>
      </c>
      <c r="I38" s="1315">
        <v>29.58</v>
      </c>
    </row>
    <row r="39" spans="1:9">
      <c r="A39" s="1323">
        <v>36</v>
      </c>
      <c r="B39" s="1324" t="s">
        <v>360</v>
      </c>
      <c r="C39" s="1325" t="s">
        <v>320</v>
      </c>
      <c r="D39" s="1319">
        <v>409621</v>
      </c>
      <c r="E39" s="1320">
        <v>17</v>
      </c>
      <c r="F39" s="1318">
        <v>60</v>
      </c>
      <c r="G39" s="600">
        <v>32.5</v>
      </c>
      <c r="H39" s="1321">
        <f t="shared" si="0"/>
        <v>9.2083333333333339</v>
      </c>
      <c r="I39" s="1315">
        <v>31</v>
      </c>
    </row>
    <row r="40" spans="1:9">
      <c r="A40" s="1316">
        <v>37</v>
      </c>
      <c r="B40" s="1324" t="s">
        <v>361</v>
      </c>
      <c r="C40" s="1325" t="s">
        <v>320</v>
      </c>
      <c r="D40" s="1319">
        <v>386810</v>
      </c>
      <c r="E40" s="1320">
        <v>17</v>
      </c>
      <c r="F40" s="1318">
        <v>60</v>
      </c>
      <c r="G40" s="600">
        <v>53.51</v>
      </c>
      <c r="H40" s="1321">
        <f t="shared" si="0"/>
        <v>15.161166666666666</v>
      </c>
      <c r="I40" s="1315">
        <v>48.51</v>
      </c>
    </row>
    <row r="41" spans="1:9">
      <c r="A41" s="1323">
        <v>38</v>
      </c>
      <c r="B41" s="1324" t="s">
        <v>362</v>
      </c>
      <c r="C41" s="1325" t="s">
        <v>320</v>
      </c>
      <c r="D41" s="1319">
        <v>386812</v>
      </c>
      <c r="E41" s="1320">
        <v>17</v>
      </c>
      <c r="F41" s="1318">
        <v>60</v>
      </c>
      <c r="G41" s="600">
        <v>102.6</v>
      </c>
      <c r="H41" s="1321">
        <f t="shared" si="0"/>
        <v>29.069999999999997</v>
      </c>
      <c r="I41" s="1315">
        <v>67.3</v>
      </c>
    </row>
    <row r="42" spans="1:9">
      <c r="A42" s="1316">
        <v>39</v>
      </c>
      <c r="B42" s="1324" t="s">
        <v>363</v>
      </c>
      <c r="C42" s="1325" t="s">
        <v>320</v>
      </c>
      <c r="D42" s="1319">
        <v>424025</v>
      </c>
      <c r="E42" s="1320">
        <v>17</v>
      </c>
      <c r="F42" s="1318">
        <v>60</v>
      </c>
      <c r="G42" s="600">
        <v>128.30000000000001</v>
      </c>
      <c r="H42" s="1321">
        <f t="shared" si="0"/>
        <v>36.351666666666674</v>
      </c>
      <c r="I42" s="1315">
        <v>107.63</v>
      </c>
    </row>
    <row r="43" spans="1:9" ht="24">
      <c r="A43" s="1323">
        <v>40</v>
      </c>
      <c r="B43" s="1324" t="s">
        <v>364</v>
      </c>
      <c r="C43" s="1325" t="s">
        <v>320</v>
      </c>
      <c r="D43" s="1319">
        <v>445905</v>
      </c>
      <c r="E43" s="1320">
        <v>17</v>
      </c>
      <c r="F43" s="1318">
        <v>60</v>
      </c>
      <c r="G43" s="600">
        <v>202.9</v>
      </c>
      <c r="H43" s="1321">
        <f t="shared" si="0"/>
        <v>57.488333333333337</v>
      </c>
      <c r="I43" s="1315">
        <v>136.49</v>
      </c>
    </row>
    <row r="44" spans="1:9" ht="24">
      <c r="A44" s="1316">
        <v>41</v>
      </c>
      <c r="B44" s="1324" t="s">
        <v>365</v>
      </c>
      <c r="C44" s="1325" t="s">
        <v>320</v>
      </c>
      <c r="D44" s="1319">
        <v>423357</v>
      </c>
      <c r="E44" s="1320">
        <v>17</v>
      </c>
      <c r="F44" s="1318">
        <v>60</v>
      </c>
      <c r="G44" s="600">
        <v>31.43</v>
      </c>
      <c r="H44" s="1321">
        <f t="shared" si="0"/>
        <v>8.9051666666666662</v>
      </c>
      <c r="I44" s="1315">
        <v>27.5</v>
      </c>
    </row>
    <row r="45" spans="1:9" ht="24">
      <c r="A45" s="1323">
        <v>42</v>
      </c>
      <c r="B45" s="1324" t="s">
        <v>366</v>
      </c>
      <c r="C45" s="1325" t="s">
        <v>320</v>
      </c>
      <c r="D45" s="1319">
        <v>370238</v>
      </c>
      <c r="E45" s="1320">
        <v>17</v>
      </c>
      <c r="F45" s="1318">
        <v>60</v>
      </c>
      <c r="G45" s="600">
        <v>12.22</v>
      </c>
      <c r="H45" s="1321">
        <f t="shared" si="0"/>
        <v>3.4623333333333335</v>
      </c>
      <c r="I45" s="1315">
        <v>10.78</v>
      </c>
    </row>
    <row r="46" spans="1:9">
      <c r="A46" s="1316">
        <v>43</v>
      </c>
      <c r="B46" s="1324" t="s">
        <v>367</v>
      </c>
      <c r="C46" s="1325" t="s">
        <v>320</v>
      </c>
      <c r="D46" s="1319" t="s">
        <v>368</v>
      </c>
      <c r="E46" s="1320">
        <v>17</v>
      </c>
      <c r="F46" s="1318">
        <v>60</v>
      </c>
      <c r="G46" s="600">
        <v>203.06</v>
      </c>
      <c r="H46" s="1321">
        <f t="shared" si="0"/>
        <v>57.533666666666669</v>
      </c>
      <c r="I46" s="1315">
        <v>203.65</v>
      </c>
    </row>
    <row r="47" spans="1:9" ht="24">
      <c r="A47" s="1323">
        <v>44</v>
      </c>
      <c r="B47" s="1324" t="s">
        <v>369</v>
      </c>
      <c r="C47" s="1325" t="s">
        <v>320</v>
      </c>
      <c r="D47" s="1319">
        <v>296200</v>
      </c>
      <c r="E47" s="1320">
        <v>17</v>
      </c>
      <c r="F47" s="1318">
        <v>60</v>
      </c>
      <c r="G47" s="600">
        <v>18.91</v>
      </c>
      <c r="H47" s="1321">
        <f t="shared" si="0"/>
        <v>5.3578333333333337</v>
      </c>
      <c r="I47" s="1315">
        <v>13.69</v>
      </c>
    </row>
    <row r="48" spans="1:9">
      <c r="A48" s="1316">
        <v>45</v>
      </c>
      <c r="B48" s="1324" t="s">
        <v>370</v>
      </c>
      <c r="C48" s="1325" t="s">
        <v>320</v>
      </c>
      <c r="D48" s="1319">
        <v>448856</v>
      </c>
      <c r="E48" s="1320">
        <v>17</v>
      </c>
      <c r="F48" s="1318">
        <v>60</v>
      </c>
      <c r="G48" s="600">
        <v>27.97</v>
      </c>
      <c r="H48" s="1321">
        <f t="shared" si="0"/>
        <v>7.9248333333333338</v>
      </c>
      <c r="I48" s="1315">
        <v>28.07</v>
      </c>
    </row>
    <row r="49" spans="1:9">
      <c r="A49" s="1323">
        <v>46</v>
      </c>
      <c r="B49" s="1324" t="s">
        <v>371</v>
      </c>
      <c r="C49" s="1325" t="s">
        <v>320</v>
      </c>
      <c r="D49" s="1319">
        <v>446101</v>
      </c>
      <c r="E49" s="1320">
        <v>17</v>
      </c>
      <c r="F49" s="1318">
        <v>12</v>
      </c>
      <c r="G49" s="600">
        <v>11.68</v>
      </c>
      <c r="H49" s="1321">
        <f t="shared" si="0"/>
        <v>16.546666666666667</v>
      </c>
      <c r="I49" s="1315">
        <v>6</v>
      </c>
    </row>
    <row r="50" spans="1:9">
      <c r="A50" s="1316">
        <v>47</v>
      </c>
      <c r="B50" s="1324" t="s">
        <v>372</v>
      </c>
      <c r="C50" s="1325" t="s">
        <v>320</v>
      </c>
      <c r="D50" s="1319">
        <v>468616</v>
      </c>
      <c r="E50" s="1320">
        <v>17</v>
      </c>
      <c r="F50" s="1318">
        <v>60</v>
      </c>
      <c r="G50" s="600">
        <v>51.81</v>
      </c>
      <c r="H50" s="1321">
        <f t="shared" si="0"/>
        <v>14.679499999999999</v>
      </c>
      <c r="I50" s="1315">
        <v>48</v>
      </c>
    </row>
    <row r="51" spans="1:9" ht="36">
      <c r="A51" s="1323">
        <v>48</v>
      </c>
      <c r="B51" s="1324" t="s">
        <v>373</v>
      </c>
      <c r="C51" s="1325" t="s">
        <v>320</v>
      </c>
      <c r="D51" s="1319">
        <v>326738</v>
      </c>
      <c r="E51" s="1320">
        <v>17</v>
      </c>
      <c r="F51" s="1318">
        <v>60</v>
      </c>
      <c r="G51" s="600">
        <v>394.25</v>
      </c>
      <c r="H51" s="1321">
        <f t="shared" si="0"/>
        <v>111.70416666666667</v>
      </c>
      <c r="I51" s="1315">
        <v>334.31</v>
      </c>
    </row>
    <row r="52" spans="1:9">
      <c r="A52" s="1316">
        <v>49</v>
      </c>
      <c r="B52" s="1324" t="s">
        <v>374</v>
      </c>
      <c r="C52" s="1325" t="s">
        <v>320</v>
      </c>
      <c r="D52" s="1319">
        <v>391505</v>
      </c>
      <c r="E52" s="1320">
        <v>17</v>
      </c>
      <c r="F52" s="1318">
        <v>12</v>
      </c>
      <c r="G52" s="600">
        <v>19.77</v>
      </c>
      <c r="H52" s="1321">
        <f t="shared" si="0"/>
        <v>28.007499999999997</v>
      </c>
      <c r="I52" s="1315">
        <v>12.3</v>
      </c>
    </row>
    <row r="53" spans="1:9" ht="24">
      <c r="A53" s="1323">
        <v>50</v>
      </c>
      <c r="B53" s="1324" t="s">
        <v>375</v>
      </c>
      <c r="C53" s="1325" t="s">
        <v>320</v>
      </c>
      <c r="D53" s="1319">
        <v>449206</v>
      </c>
      <c r="E53" s="1320">
        <v>17</v>
      </c>
      <c r="F53" s="1318">
        <v>60</v>
      </c>
      <c r="G53" s="600">
        <v>5.28</v>
      </c>
      <c r="H53" s="1321">
        <f t="shared" si="0"/>
        <v>1.496</v>
      </c>
      <c r="I53" s="1315">
        <v>5.13</v>
      </c>
    </row>
    <row r="54" spans="1:9">
      <c r="A54" s="1316">
        <v>51</v>
      </c>
      <c r="B54" s="1329" t="s">
        <v>376</v>
      </c>
      <c r="C54" s="1325" t="s">
        <v>320</v>
      </c>
      <c r="D54" s="1319">
        <v>449541</v>
      </c>
      <c r="E54" s="1320">
        <v>17</v>
      </c>
      <c r="F54" s="1318">
        <v>60</v>
      </c>
      <c r="G54" s="600">
        <v>9.8800000000000008</v>
      </c>
      <c r="H54" s="1321">
        <f t="shared" si="0"/>
        <v>2.7993333333333337</v>
      </c>
      <c r="I54" s="1315">
        <v>4.6900000000000004</v>
      </c>
    </row>
    <row r="55" spans="1:9" ht="24">
      <c r="A55" s="1323">
        <v>52</v>
      </c>
      <c r="B55" s="1324" t="s">
        <v>377</v>
      </c>
      <c r="C55" s="1325" t="s">
        <v>320</v>
      </c>
      <c r="D55" s="1319">
        <v>449350</v>
      </c>
      <c r="E55" s="1320">
        <v>17</v>
      </c>
      <c r="F55" s="1318">
        <v>60</v>
      </c>
      <c r="G55" s="600">
        <v>12.48</v>
      </c>
      <c r="H55" s="1321">
        <f t="shared" si="0"/>
        <v>3.536</v>
      </c>
      <c r="I55" s="1315">
        <v>10.5</v>
      </c>
    </row>
    <row r="56" spans="1:9">
      <c r="A56" s="1316">
        <v>53</v>
      </c>
      <c r="B56" s="1324" t="s">
        <v>378</v>
      </c>
      <c r="C56" s="1325" t="s">
        <v>320</v>
      </c>
      <c r="D56" s="1319">
        <v>312239</v>
      </c>
      <c r="E56" s="1320">
        <v>17</v>
      </c>
      <c r="F56" s="1318">
        <v>12</v>
      </c>
      <c r="G56" s="600">
        <v>6.91</v>
      </c>
      <c r="H56" s="1321">
        <f t="shared" si="0"/>
        <v>9.7891666666666666</v>
      </c>
      <c r="I56" s="1315">
        <v>5.19</v>
      </c>
    </row>
    <row r="57" spans="1:9" ht="24">
      <c r="A57" s="1323">
        <v>54</v>
      </c>
      <c r="B57" s="1324" t="s">
        <v>379</v>
      </c>
      <c r="C57" s="1325" t="s">
        <v>320</v>
      </c>
      <c r="D57" s="1319">
        <v>459435</v>
      </c>
      <c r="E57" s="1320">
        <v>17</v>
      </c>
      <c r="F57" s="1318">
        <v>60</v>
      </c>
      <c r="G57" s="600">
        <v>30.08</v>
      </c>
      <c r="H57" s="1321">
        <f t="shared" si="0"/>
        <v>8.5226666666666659</v>
      </c>
      <c r="I57" s="1315">
        <v>19.5</v>
      </c>
    </row>
    <row r="58" spans="1:9" ht="24">
      <c r="A58" s="1316">
        <v>55</v>
      </c>
      <c r="B58" s="1324" t="s">
        <v>380</v>
      </c>
      <c r="C58" s="1325" t="s">
        <v>320</v>
      </c>
      <c r="D58" s="1319">
        <v>411451</v>
      </c>
      <c r="E58" s="1320">
        <v>17</v>
      </c>
      <c r="F58" s="1318">
        <v>12</v>
      </c>
      <c r="G58" s="600">
        <v>11.31</v>
      </c>
      <c r="H58" s="1321">
        <f t="shared" si="0"/>
        <v>16.022500000000001</v>
      </c>
      <c r="I58" s="1315">
        <v>8.07</v>
      </c>
    </row>
    <row r="59" spans="1:9" ht="24">
      <c r="A59" s="1323">
        <v>56</v>
      </c>
      <c r="B59" s="1324" t="s">
        <v>381</v>
      </c>
      <c r="C59" s="1325" t="s">
        <v>320</v>
      </c>
      <c r="D59" s="1319">
        <v>411449</v>
      </c>
      <c r="E59" s="1320">
        <v>17</v>
      </c>
      <c r="F59" s="1318">
        <v>60</v>
      </c>
      <c r="G59" s="600">
        <v>13.27</v>
      </c>
      <c r="H59" s="1321">
        <f t="shared" si="0"/>
        <v>3.7598333333333334</v>
      </c>
      <c r="I59" s="1315">
        <v>9.9</v>
      </c>
    </row>
    <row r="60" spans="1:9">
      <c r="A60" s="1316">
        <v>57</v>
      </c>
      <c r="B60" s="1327" t="s">
        <v>382</v>
      </c>
      <c r="C60" s="1325" t="s">
        <v>320</v>
      </c>
      <c r="D60" s="1319">
        <v>361243</v>
      </c>
      <c r="E60" s="1320">
        <v>17</v>
      </c>
      <c r="F60" s="1318">
        <v>60</v>
      </c>
      <c r="G60" s="600">
        <v>47.75</v>
      </c>
      <c r="H60" s="1321">
        <f t="shared" si="0"/>
        <v>13.529166666666667</v>
      </c>
      <c r="I60" s="1315">
        <v>51.28</v>
      </c>
    </row>
    <row r="61" spans="1:9">
      <c r="A61" s="1323">
        <v>58</v>
      </c>
      <c r="B61" s="1327" t="s">
        <v>383</v>
      </c>
      <c r="C61" s="1325" t="s">
        <v>320</v>
      </c>
      <c r="D61" s="1319">
        <v>484062</v>
      </c>
      <c r="E61" s="1320">
        <v>17</v>
      </c>
      <c r="F61" s="1318">
        <v>60</v>
      </c>
      <c r="G61" s="600">
        <v>217.78</v>
      </c>
      <c r="H61" s="1321">
        <f t="shared" si="0"/>
        <v>61.704333333333338</v>
      </c>
      <c r="I61" s="1315">
        <v>170.8</v>
      </c>
    </row>
    <row r="62" spans="1:9">
      <c r="A62" s="1316">
        <v>59</v>
      </c>
      <c r="B62" s="1324" t="s">
        <v>384</v>
      </c>
      <c r="C62" s="1325" t="s">
        <v>320</v>
      </c>
      <c r="D62" s="1319">
        <v>249750</v>
      </c>
      <c r="E62" s="1320">
        <v>17</v>
      </c>
      <c r="F62" s="1318">
        <v>60</v>
      </c>
      <c r="G62" s="600">
        <v>17.34</v>
      </c>
      <c r="H62" s="1321">
        <f t="shared" si="0"/>
        <v>4.9129999999999994</v>
      </c>
      <c r="I62" s="1315">
        <v>16.100000000000001</v>
      </c>
    </row>
    <row r="63" spans="1:9">
      <c r="A63" s="1323">
        <v>60</v>
      </c>
      <c r="B63" s="1324" t="s">
        <v>385</v>
      </c>
      <c r="C63" s="1325" t="s">
        <v>320</v>
      </c>
      <c r="D63" s="1319">
        <v>249757</v>
      </c>
      <c r="E63" s="1320">
        <v>17</v>
      </c>
      <c r="F63" s="1318">
        <v>60</v>
      </c>
      <c r="G63" s="600">
        <v>22.83</v>
      </c>
      <c r="H63" s="1321">
        <f t="shared" si="0"/>
        <v>6.4684999999999997</v>
      </c>
      <c r="I63" s="1315">
        <v>20.34</v>
      </c>
    </row>
    <row r="64" spans="1:9">
      <c r="A64" s="1316">
        <v>61</v>
      </c>
      <c r="B64" s="1324" t="s">
        <v>386</v>
      </c>
      <c r="C64" s="1325" t="s">
        <v>320</v>
      </c>
      <c r="D64" s="1319">
        <v>249751</v>
      </c>
      <c r="E64" s="1320">
        <v>17</v>
      </c>
      <c r="F64" s="1318">
        <v>60</v>
      </c>
      <c r="G64" s="600">
        <v>13.91</v>
      </c>
      <c r="H64" s="1321">
        <f t="shared" si="0"/>
        <v>3.9411666666666667</v>
      </c>
      <c r="I64" s="1315">
        <v>13.09</v>
      </c>
    </row>
    <row r="65" spans="1:9">
      <c r="A65" s="1323">
        <v>62</v>
      </c>
      <c r="B65" s="1324" t="s">
        <v>387</v>
      </c>
      <c r="C65" s="1325" t="s">
        <v>320</v>
      </c>
      <c r="D65" s="1319">
        <v>249752</v>
      </c>
      <c r="E65" s="1320">
        <v>17</v>
      </c>
      <c r="F65" s="1318">
        <v>60</v>
      </c>
      <c r="G65" s="600">
        <v>19.46</v>
      </c>
      <c r="H65" s="1321">
        <f t="shared" si="0"/>
        <v>5.5136666666666665</v>
      </c>
      <c r="I65" s="1315">
        <v>18.96</v>
      </c>
    </row>
    <row r="66" spans="1:9" ht="36">
      <c r="A66" s="1316">
        <v>63</v>
      </c>
      <c r="B66" s="1324" t="s">
        <v>388</v>
      </c>
      <c r="C66" s="1325" t="s">
        <v>320</v>
      </c>
      <c r="D66" s="1319">
        <v>468765</v>
      </c>
      <c r="E66" s="1320">
        <v>17</v>
      </c>
      <c r="F66" s="1318">
        <v>60</v>
      </c>
      <c r="G66" s="600">
        <v>23.19</v>
      </c>
      <c r="H66" s="1321">
        <f t="shared" si="0"/>
        <v>6.5705</v>
      </c>
      <c r="I66" s="1315">
        <v>22.89</v>
      </c>
    </row>
    <row r="67" spans="1:9" ht="24">
      <c r="A67" s="1323">
        <v>64</v>
      </c>
      <c r="B67" s="1324" t="s">
        <v>389</v>
      </c>
      <c r="C67" s="1325" t="s">
        <v>320</v>
      </c>
      <c r="D67" s="1319">
        <v>449420</v>
      </c>
      <c r="E67" s="1320">
        <v>17</v>
      </c>
      <c r="F67" s="1318">
        <v>60</v>
      </c>
      <c r="G67" s="600">
        <v>51</v>
      </c>
      <c r="H67" s="1321">
        <f t="shared" si="0"/>
        <v>14.45</v>
      </c>
      <c r="I67" s="1315">
        <v>51.72</v>
      </c>
    </row>
    <row r="68" spans="1:9">
      <c r="A68" s="1316">
        <v>65</v>
      </c>
      <c r="B68" s="1324" t="s">
        <v>390</v>
      </c>
      <c r="C68" s="1325" t="s">
        <v>320</v>
      </c>
      <c r="D68" s="1319">
        <v>301966</v>
      </c>
      <c r="E68" s="1320">
        <v>17</v>
      </c>
      <c r="F68" s="1318">
        <v>60</v>
      </c>
      <c r="G68" s="600">
        <v>12.56</v>
      </c>
      <c r="H68" s="1321">
        <f t="shared" si="0"/>
        <v>3.5586666666666669</v>
      </c>
      <c r="I68" s="1315">
        <v>11.52</v>
      </c>
    </row>
    <row r="69" spans="1:9" ht="24">
      <c r="A69" s="1323">
        <v>66</v>
      </c>
      <c r="B69" s="1324" t="s">
        <v>391</v>
      </c>
      <c r="C69" s="1325" t="s">
        <v>320</v>
      </c>
      <c r="D69" s="1319">
        <v>601791</v>
      </c>
      <c r="E69" s="1320">
        <v>17</v>
      </c>
      <c r="F69" s="1318">
        <v>60</v>
      </c>
      <c r="G69" s="600">
        <v>142.99</v>
      </c>
      <c r="H69" s="1321">
        <f t="shared" si="0"/>
        <v>40.513833333333331</v>
      </c>
      <c r="I69" s="1315">
        <v>141.5</v>
      </c>
    </row>
    <row r="70" spans="1:9">
      <c r="A70" s="1316">
        <v>67</v>
      </c>
      <c r="B70" s="1324" t="s">
        <v>392</v>
      </c>
      <c r="C70" s="1325" t="s">
        <v>320</v>
      </c>
      <c r="D70" s="1319">
        <v>286755</v>
      </c>
      <c r="E70" s="1320">
        <v>17</v>
      </c>
      <c r="F70" s="1318">
        <v>60</v>
      </c>
      <c r="G70" s="600">
        <v>181.98</v>
      </c>
      <c r="H70" s="1321">
        <f t="shared" ref="H70:H115" si="2">(G70*E70)/F70</f>
        <v>51.561</v>
      </c>
      <c r="I70" s="1315">
        <v>198.02</v>
      </c>
    </row>
    <row r="71" spans="1:9" ht="60">
      <c r="A71" s="1323">
        <v>68</v>
      </c>
      <c r="B71" s="1324" t="s">
        <v>393</v>
      </c>
      <c r="C71" s="1325" t="s">
        <v>320</v>
      </c>
      <c r="D71" s="1319">
        <v>607971</v>
      </c>
      <c r="E71" s="1320">
        <v>17</v>
      </c>
      <c r="F71" s="1318">
        <v>60</v>
      </c>
      <c r="G71" s="600">
        <v>85.8</v>
      </c>
      <c r="H71" s="1321">
        <f t="shared" si="2"/>
        <v>24.31</v>
      </c>
      <c r="I71" s="1315">
        <v>59.75</v>
      </c>
    </row>
    <row r="72" spans="1:9" ht="24">
      <c r="A72" s="1316">
        <v>69</v>
      </c>
      <c r="B72" s="1324" t="s">
        <v>394</v>
      </c>
      <c r="C72" s="1325" t="s">
        <v>320</v>
      </c>
      <c r="D72" s="1319">
        <v>428613</v>
      </c>
      <c r="E72" s="1320">
        <v>17</v>
      </c>
      <c r="F72" s="1318">
        <v>60</v>
      </c>
      <c r="G72" s="600">
        <v>219.96</v>
      </c>
      <c r="H72" s="1321">
        <f t="shared" si="2"/>
        <v>62.322000000000003</v>
      </c>
      <c r="I72" s="1315">
        <v>221.86</v>
      </c>
    </row>
    <row r="73" spans="1:9" ht="24">
      <c r="A73" s="1323">
        <v>70</v>
      </c>
      <c r="B73" s="1324" t="s">
        <v>395</v>
      </c>
      <c r="C73" s="1325" t="s">
        <v>396</v>
      </c>
      <c r="D73" s="1319">
        <v>256554</v>
      </c>
      <c r="E73" s="1320">
        <v>17</v>
      </c>
      <c r="F73" s="1318">
        <v>60</v>
      </c>
      <c r="G73" s="600">
        <v>4.59</v>
      </c>
      <c r="H73" s="1321">
        <f t="shared" si="2"/>
        <v>1.3005</v>
      </c>
      <c r="I73" s="1315">
        <v>3.58</v>
      </c>
    </row>
    <row r="74" spans="1:9">
      <c r="A74" s="1316">
        <v>71</v>
      </c>
      <c r="B74" s="1324" t="s">
        <v>397</v>
      </c>
      <c r="C74" s="1325" t="s">
        <v>320</v>
      </c>
      <c r="D74" s="1319">
        <v>384308</v>
      </c>
      <c r="E74" s="1320">
        <v>17</v>
      </c>
      <c r="F74" s="1318">
        <v>60</v>
      </c>
      <c r="G74" s="600">
        <v>135.32</v>
      </c>
      <c r="H74" s="1321">
        <f t="shared" si="2"/>
        <v>38.340666666666671</v>
      </c>
      <c r="I74" s="1315">
        <v>151.24</v>
      </c>
    </row>
    <row r="75" spans="1:9" ht="36">
      <c r="A75" s="1323">
        <v>72</v>
      </c>
      <c r="B75" s="1324" t="s">
        <v>398</v>
      </c>
      <c r="C75" s="1325" t="s">
        <v>320</v>
      </c>
      <c r="D75" s="1319" t="s">
        <v>399</v>
      </c>
      <c r="E75" s="1320">
        <v>17</v>
      </c>
      <c r="F75" s="1318">
        <v>60</v>
      </c>
      <c r="G75" s="600">
        <v>42.13</v>
      </c>
      <c r="H75" s="1321">
        <f t="shared" si="2"/>
        <v>11.936833333333334</v>
      </c>
      <c r="I75" s="1315">
        <v>41.91</v>
      </c>
    </row>
    <row r="76" spans="1:9">
      <c r="A76" s="1316">
        <v>73</v>
      </c>
      <c r="B76" s="1324" t="s">
        <v>400</v>
      </c>
      <c r="C76" s="1325" t="s">
        <v>320</v>
      </c>
      <c r="D76" s="1319">
        <v>279613</v>
      </c>
      <c r="E76" s="1320">
        <v>17</v>
      </c>
      <c r="F76" s="1318">
        <v>60</v>
      </c>
      <c r="G76" s="600">
        <v>13.09</v>
      </c>
      <c r="H76" s="1321">
        <f t="shared" si="2"/>
        <v>3.7088333333333332</v>
      </c>
      <c r="I76" s="1315">
        <v>11.72</v>
      </c>
    </row>
    <row r="77" spans="1:9" ht="24">
      <c r="A77" s="1323">
        <v>74</v>
      </c>
      <c r="B77" s="1324" t="s">
        <v>401</v>
      </c>
      <c r="C77" s="1325" t="s">
        <v>320</v>
      </c>
      <c r="D77" s="1319">
        <v>484513</v>
      </c>
      <c r="E77" s="1320">
        <v>17</v>
      </c>
      <c r="F77" s="1318">
        <v>60</v>
      </c>
      <c r="G77" s="600">
        <v>30.9</v>
      </c>
      <c r="H77" s="1321">
        <f t="shared" si="2"/>
        <v>8.754999999999999</v>
      </c>
      <c r="I77" s="1315">
        <v>20.12</v>
      </c>
    </row>
    <row r="78" spans="1:9">
      <c r="A78" s="1316">
        <v>75</v>
      </c>
      <c r="B78" s="1324" t="s">
        <v>402</v>
      </c>
      <c r="C78" s="1325" t="s">
        <v>320</v>
      </c>
      <c r="D78" s="1319">
        <v>391961</v>
      </c>
      <c r="E78" s="1320">
        <v>17</v>
      </c>
      <c r="F78" s="1318">
        <v>60</v>
      </c>
      <c r="G78" s="600">
        <v>67.25</v>
      </c>
      <c r="H78" s="1321">
        <f t="shared" si="2"/>
        <v>19.054166666666667</v>
      </c>
      <c r="I78" s="1315">
        <v>32.630000000000003</v>
      </c>
    </row>
    <row r="79" spans="1:9">
      <c r="A79" s="1323">
        <v>76</v>
      </c>
      <c r="B79" s="1324" t="s">
        <v>403</v>
      </c>
      <c r="C79" s="1325" t="s">
        <v>320</v>
      </c>
      <c r="D79" s="1319">
        <v>361082</v>
      </c>
      <c r="E79" s="1320">
        <v>17</v>
      </c>
      <c r="F79" s="1318">
        <v>60</v>
      </c>
      <c r="G79" s="600">
        <v>22.05</v>
      </c>
      <c r="H79" s="1321">
        <f t="shared" si="2"/>
        <v>6.2475000000000005</v>
      </c>
      <c r="I79" s="1315">
        <v>15.38</v>
      </c>
    </row>
    <row r="80" spans="1:9">
      <c r="A80" s="1316">
        <v>77</v>
      </c>
      <c r="B80" s="1324" t="s">
        <v>404</v>
      </c>
      <c r="C80" s="1325" t="s">
        <v>320</v>
      </c>
      <c r="D80" s="1319">
        <v>360983</v>
      </c>
      <c r="E80" s="1320">
        <v>17</v>
      </c>
      <c r="F80" s="1318">
        <v>60</v>
      </c>
      <c r="G80" s="600">
        <v>18.95</v>
      </c>
      <c r="H80" s="1321">
        <f t="shared" si="2"/>
        <v>5.3691666666666666</v>
      </c>
      <c r="I80" s="1315">
        <v>18.899999999999999</v>
      </c>
    </row>
    <row r="81" spans="1:9">
      <c r="A81" s="1323">
        <v>78</v>
      </c>
      <c r="B81" s="1324" t="s">
        <v>405</v>
      </c>
      <c r="C81" s="1325" t="s">
        <v>320</v>
      </c>
      <c r="D81" s="1319">
        <v>262706</v>
      </c>
      <c r="E81" s="1320">
        <v>17</v>
      </c>
      <c r="F81" s="1318">
        <v>60</v>
      </c>
      <c r="G81" s="600">
        <v>8.8000000000000007</v>
      </c>
      <c r="H81" s="1321">
        <f t="shared" si="2"/>
        <v>2.4933333333333336</v>
      </c>
      <c r="I81" s="1315">
        <v>7</v>
      </c>
    </row>
    <row r="82" spans="1:9">
      <c r="A82" s="1316">
        <v>79</v>
      </c>
      <c r="B82" s="1324" t="s">
        <v>406</v>
      </c>
      <c r="C82" s="1325" t="s">
        <v>320</v>
      </c>
      <c r="D82" s="1319">
        <v>479868</v>
      </c>
      <c r="E82" s="1320">
        <v>17</v>
      </c>
      <c r="F82" s="1318">
        <v>60</v>
      </c>
      <c r="G82" s="600">
        <v>331.15</v>
      </c>
      <c r="H82" s="1321">
        <f t="shared" si="2"/>
        <v>93.825833333333321</v>
      </c>
      <c r="I82" s="1315">
        <v>229.9</v>
      </c>
    </row>
    <row r="83" spans="1:9" ht="24">
      <c r="A83" s="1323">
        <v>80</v>
      </c>
      <c r="B83" s="1324" t="s">
        <v>407</v>
      </c>
      <c r="C83" s="1325" t="s">
        <v>320</v>
      </c>
      <c r="D83" s="1319">
        <v>377501</v>
      </c>
      <c r="E83" s="1320">
        <v>17</v>
      </c>
      <c r="F83" s="1318">
        <v>60</v>
      </c>
      <c r="G83" s="600">
        <v>60.91</v>
      </c>
      <c r="H83" s="1321">
        <f t="shared" si="2"/>
        <v>17.257833333333334</v>
      </c>
      <c r="I83" s="1315">
        <v>47.74</v>
      </c>
    </row>
    <row r="84" spans="1:9">
      <c r="A84" s="1316">
        <v>81</v>
      </c>
      <c r="B84" s="1324" t="s">
        <v>408</v>
      </c>
      <c r="C84" s="1325" t="s">
        <v>320</v>
      </c>
      <c r="D84" s="1319">
        <v>380101</v>
      </c>
      <c r="E84" s="1320">
        <v>17</v>
      </c>
      <c r="F84" s="1318">
        <v>60</v>
      </c>
      <c r="G84" s="600">
        <v>25.32</v>
      </c>
      <c r="H84" s="1321">
        <f t="shared" si="2"/>
        <v>7.1740000000000004</v>
      </c>
      <c r="I84" s="1315">
        <v>23.76</v>
      </c>
    </row>
    <row r="85" spans="1:9">
      <c r="A85" s="1323">
        <v>82</v>
      </c>
      <c r="B85" s="1324" t="s">
        <v>409</v>
      </c>
      <c r="C85" s="1325" t="s">
        <v>320</v>
      </c>
      <c r="D85" s="1319">
        <v>237399</v>
      </c>
      <c r="E85" s="1320">
        <v>17</v>
      </c>
      <c r="F85" s="1318">
        <v>60</v>
      </c>
      <c r="G85" s="600">
        <v>25.01</v>
      </c>
      <c r="H85" s="1321">
        <f t="shared" si="2"/>
        <v>7.0861666666666672</v>
      </c>
      <c r="I85" s="1315">
        <v>22.4</v>
      </c>
    </row>
    <row r="86" spans="1:9" ht="24">
      <c r="A86" s="1316">
        <v>83</v>
      </c>
      <c r="B86" s="1324" t="s">
        <v>410</v>
      </c>
      <c r="C86" s="1325" t="s">
        <v>320</v>
      </c>
      <c r="D86" s="1319">
        <v>217691</v>
      </c>
      <c r="E86" s="1320">
        <v>17</v>
      </c>
      <c r="F86" s="1318">
        <v>60</v>
      </c>
      <c r="G86" s="600">
        <v>28.14</v>
      </c>
      <c r="H86" s="1321">
        <f t="shared" si="2"/>
        <v>7.9729999999999999</v>
      </c>
      <c r="I86" s="1315">
        <v>22.5</v>
      </c>
    </row>
    <row r="87" spans="1:9" ht="24">
      <c r="A87" s="1323">
        <v>84</v>
      </c>
      <c r="B87" s="1324" t="s">
        <v>411</v>
      </c>
      <c r="C87" s="1325" t="s">
        <v>320</v>
      </c>
      <c r="D87" s="1319">
        <v>312507</v>
      </c>
      <c r="E87" s="1320">
        <v>17</v>
      </c>
      <c r="F87" s="1318">
        <v>60</v>
      </c>
      <c r="G87" s="600">
        <v>17.22</v>
      </c>
      <c r="H87" s="1321">
        <f t="shared" si="2"/>
        <v>4.8790000000000004</v>
      </c>
      <c r="I87" s="1315">
        <v>16</v>
      </c>
    </row>
    <row r="88" spans="1:9">
      <c r="A88" s="1316">
        <v>85</v>
      </c>
      <c r="B88" s="1324" t="s">
        <v>412</v>
      </c>
      <c r="C88" s="1325" t="s">
        <v>320</v>
      </c>
      <c r="D88" s="1319">
        <v>466631</v>
      </c>
      <c r="E88" s="1320">
        <v>17</v>
      </c>
      <c r="F88" s="1318">
        <v>60</v>
      </c>
      <c r="G88" s="600">
        <v>59.27</v>
      </c>
      <c r="H88" s="1321">
        <f t="shared" si="2"/>
        <v>16.793166666666668</v>
      </c>
      <c r="I88" s="1315">
        <v>43.95</v>
      </c>
    </row>
    <row r="89" spans="1:9">
      <c r="A89" s="1323">
        <v>86</v>
      </c>
      <c r="B89" s="1324" t="s">
        <v>413</v>
      </c>
      <c r="C89" s="1325" t="s">
        <v>320</v>
      </c>
      <c r="D89" s="1319">
        <v>601755</v>
      </c>
      <c r="E89" s="1320">
        <v>17</v>
      </c>
      <c r="F89" s="1318">
        <v>60</v>
      </c>
      <c r="G89" s="600">
        <v>85.65</v>
      </c>
      <c r="H89" s="1321">
        <f t="shared" si="2"/>
        <v>24.267500000000002</v>
      </c>
      <c r="I89" s="601">
        <v>39.36</v>
      </c>
    </row>
    <row r="90" spans="1:9">
      <c r="A90" s="1316">
        <v>87</v>
      </c>
      <c r="B90" s="1324" t="s">
        <v>414</v>
      </c>
      <c r="C90" s="1325" t="s">
        <v>320</v>
      </c>
      <c r="D90" s="1319" t="s">
        <v>415</v>
      </c>
      <c r="E90" s="1320">
        <v>17</v>
      </c>
      <c r="F90" s="1318">
        <v>60</v>
      </c>
      <c r="G90" s="600">
        <v>96.54</v>
      </c>
      <c r="H90" s="1321">
        <f t="shared" si="2"/>
        <v>27.353000000000002</v>
      </c>
      <c r="I90" s="1315">
        <v>88.54</v>
      </c>
    </row>
    <row r="91" spans="1:9" ht="24">
      <c r="A91" s="1323">
        <v>88</v>
      </c>
      <c r="B91" s="1324" t="s">
        <v>416</v>
      </c>
      <c r="C91" s="1325" t="s">
        <v>320</v>
      </c>
      <c r="D91" s="1319">
        <v>307406</v>
      </c>
      <c r="E91" s="1320">
        <v>17</v>
      </c>
      <c r="F91" s="1318">
        <v>60</v>
      </c>
      <c r="G91" s="600">
        <v>39.04</v>
      </c>
      <c r="H91" s="1321">
        <f t="shared" si="2"/>
        <v>11.061333333333332</v>
      </c>
      <c r="I91" s="1315">
        <v>35</v>
      </c>
    </row>
    <row r="92" spans="1:9" ht="24">
      <c r="A92" s="1316">
        <v>89</v>
      </c>
      <c r="B92" s="1324" t="s">
        <v>417</v>
      </c>
      <c r="C92" s="1325" t="s">
        <v>320</v>
      </c>
      <c r="D92" s="1319" t="s">
        <v>418</v>
      </c>
      <c r="E92" s="1320">
        <v>17</v>
      </c>
      <c r="F92" s="1318">
        <v>60</v>
      </c>
      <c r="G92" s="600">
        <v>121.89</v>
      </c>
      <c r="H92" s="1321">
        <f t="shared" si="2"/>
        <v>34.535499999999999</v>
      </c>
      <c r="I92" s="1315">
        <v>121.89</v>
      </c>
    </row>
    <row r="93" spans="1:9">
      <c r="A93" s="1323">
        <v>90</v>
      </c>
      <c r="B93" s="1324" t="s">
        <v>419</v>
      </c>
      <c r="C93" s="1325" t="s">
        <v>320</v>
      </c>
      <c r="D93" s="1319" t="s">
        <v>420</v>
      </c>
      <c r="E93" s="1320">
        <v>17</v>
      </c>
      <c r="F93" s="1318">
        <v>60</v>
      </c>
      <c r="G93" s="600">
        <v>30.81</v>
      </c>
      <c r="H93" s="1321">
        <f t="shared" si="2"/>
        <v>8.7294999999999998</v>
      </c>
      <c r="I93" s="1315">
        <v>29.64</v>
      </c>
    </row>
    <row r="94" spans="1:9">
      <c r="A94" s="1316">
        <v>91</v>
      </c>
      <c r="B94" s="1324" t="s">
        <v>421</v>
      </c>
      <c r="C94" s="1325" t="s">
        <v>320</v>
      </c>
      <c r="D94" s="1319">
        <v>468648</v>
      </c>
      <c r="E94" s="1320">
        <v>17</v>
      </c>
      <c r="F94" s="1318">
        <v>60</v>
      </c>
      <c r="G94" s="600">
        <v>25.48</v>
      </c>
      <c r="H94" s="1321">
        <f t="shared" si="2"/>
        <v>7.219333333333334</v>
      </c>
      <c r="I94" s="1315">
        <v>21.99</v>
      </c>
    </row>
    <row r="95" spans="1:9" ht="24">
      <c r="A95" s="1323">
        <v>92</v>
      </c>
      <c r="B95" s="1324" t="s">
        <v>422</v>
      </c>
      <c r="C95" s="1325" t="s">
        <v>320</v>
      </c>
      <c r="D95" s="1319">
        <v>442316</v>
      </c>
      <c r="E95" s="1320">
        <v>17</v>
      </c>
      <c r="F95" s="1318">
        <v>60</v>
      </c>
      <c r="G95" s="600">
        <v>14.85</v>
      </c>
      <c r="H95" s="1321">
        <f t="shared" si="2"/>
        <v>4.2074999999999996</v>
      </c>
      <c r="I95" s="1315">
        <v>11.3</v>
      </c>
    </row>
    <row r="96" spans="1:9">
      <c r="A96" s="1316">
        <v>93</v>
      </c>
      <c r="B96" s="1324" t="s">
        <v>423</v>
      </c>
      <c r="C96" s="1325" t="s">
        <v>320</v>
      </c>
      <c r="D96" s="1319">
        <v>313933</v>
      </c>
      <c r="E96" s="1320">
        <v>17</v>
      </c>
      <c r="F96" s="1318">
        <v>60</v>
      </c>
      <c r="G96" s="600">
        <v>39.729999999999997</v>
      </c>
      <c r="H96" s="1321">
        <f t="shared" si="2"/>
        <v>11.256833333333333</v>
      </c>
      <c r="I96" s="1315">
        <v>34.380000000000003</v>
      </c>
    </row>
    <row r="97" spans="1:13">
      <c r="A97" s="1323">
        <v>94</v>
      </c>
      <c r="B97" s="1330" t="s">
        <v>424</v>
      </c>
      <c r="C97" s="1325" t="s">
        <v>320</v>
      </c>
      <c r="D97" s="1319">
        <v>446792</v>
      </c>
      <c r="E97" s="1320">
        <v>17</v>
      </c>
      <c r="F97" s="1318">
        <v>12</v>
      </c>
      <c r="G97" s="600">
        <v>166.18</v>
      </c>
      <c r="H97" s="1321">
        <f t="shared" si="2"/>
        <v>235.42166666666665</v>
      </c>
      <c r="I97" s="1315">
        <v>125.55</v>
      </c>
    </row>
    <row r="98" spans="1:13">
      <c r="A98" s="1316">
        <v>95</v>
      </c>
      <c r="B98" s="1330" t="s">
        <v>425</v>
      </c>
      <c r="C98" s="1325" t="s">
        <v>320</v>
      </c>
      <c r="D98" s="1319">
        <v>438813</v>
      </c>
      <c r="E98" s="1320">
        <v>17</v>
      </c>
      <c r="F98" s="1318">
        <v>12</v>
      </c>
      <c r="G98" s="600">
        <v>85.92</v>
      </c>
      <c r="H98" s="1321">
        <f t="shared" si="2"/>
        <v>121.72000000000001</v>
      </c>
      <c r="I98" s="1315">
        <v>90.46</v>
      </c>
    </row>
    <row r="99" spans="1:13">
      <c r="A99" s="1323">
        <v>96</v>
      </c>
      <c r="B99" s="1330" t="s">
        <v>426</v>
      </c>
      <c r="C99" s="1325" t="s">
        <v>320</v>
      </c>
      <c r="D99" s="1319">
        <v>438812</v>
      </c>
      <c r="E99" s="1320">
        <v>17</v>
      </c>
      <c r="F99" s="1318">
        <v>12</v>
      </c>
      <c r="G99" s="600">
        <v>57.33</v>
      </c>
      <c r="H99" s="1321">
        <f t="shared" si="2"/>
        <v>81.217500000000001</v>
      </c>
      <c r="I99" s="1315">
        <v>54.45</v>
      </c>
    </row>
    <row r="100" spans="1:13">
      <c r="A100" s="1316">
        <v>97</v>
      </c>
      <c r="B100" s="1330" t="s">
        <v>427</v>
      </c>
      <c r="C100" s="1325" t="s">
        <v>320</v>
      </c>
      <c r="D100" s="1319">
        <v>438814</v>
      </c>
      <c r="E100" s="1320">
        <v>17</v>
      </c>
      <c r="F100" s="1318">
        <v>12</v>
      </c>
      <c r="G100" s="600">
        <v>47.13</v>
      </c>
      <c r="H100" s="1321">
        <f t="shared" si="2"/>
        <v>66.767499999999998</v>
      </c>
      <c r="I100" s="1315">
        <v>46.29</v>
      </c>
    </row>
    <row r="101" spans="1:13">
      <c r="A101" s="1323">
        <v>98</v>
      </c>
      <c r="B101" s="1330" t="s">
        <v>428</v>
      </c>
      <c r="C101" s="1325" t="s">
        <v>320</v>
      </c>
      <c r="D101" s="1319">
        <v>438811</v>
      </c>
      <c r="E101" s="1320">
        <v>17</v>
      </c>
      <c r="F101" s="1318">
        <v>12</v>
      </c>
      <c r="G101" s="600">
        <v>65.06</v>
      </c>
      <c r="H101" s="1321">
        <f t="shared" si="2"/>
        <v>92.168333333333337</v>
      </c>
      <c r="I101" s="1315">
        <v>37.869999999999997</v>
      </c>
    </row>
    <row r="102" spans="1:13">
      <c r="A102" s="1316">
        <v>99</v>
      </c>
      <c r="B102" s="1330" t="s">
        <v>429</v>
      </c>
      <c r="C102" s="1325" t="s">
        <v>320</v>
      </c>
      <c r="D102" s="1319">
        <v>305806</v>
      </c>
      <c r="E102" s="1320">
        <v>17</v>
      </c>
      <c r="F102" s="1318">
        <v>12</v>
      </c>
      <c r="G102" s="600">
        <v>120.54</v>
      </c>
      <c r="H102" s="1321">
        <f t="shared" si="2"/>
        <v>170.76500000000001</v>
      </c>
      <c r="I102" s="1315">
        <v>99.9</v>
      </c>
    </row>
    <row r="103" spans="1:13">
      <c r="A103" s="1323">
        <v>100</v>
      </c>
      <c r="B103" s="1330" t="s">
        <v>430</v>
      </c>
      <c r="C103" s="1325" t="s">
        <v>320</v>
      </c>
      <c r="D103" s="1319">
        <v>446792</v>
      </c>
      <c r="E103" s="1320">
        <v>17</v>
      </c>
      <c r="F103" s="1318">
        <v>12</v>
      </c>
      <c r="G103" s="600">
        <v>166.18</v>
      </c>
      <c r="H103" s="1321">
        <f t="shared" si="2"/>
        <v>235.42166666666665</v>
      </c>
      <c r="I103" s="1315">
        <v>125.55</v>
      </c>
    </row>
    <row r="104" spans="1:13">
      <c r="A104" s="1316">
        <v>101</v>
      </c>
      <c r="B104" s="1330" t="s">
        <v>431</v>
      </c>
      <c r="C104" s="1325" t="s">
        <v>320</v>
      </c>
      <c r="D104" s="1319">
        <v>440437</v>
      </c>
      <c r="E104" s="1320">
        <v>17</v>
      </c>
      <c r="F104" s="1318">
        <v>12</v>
      </c>
      <c r="G104" s="600">
        <v>50.07</v>
      </c>
      <c r="H104" s="1321">
        <f t="shared" si="2"/>
        <v>70.932500000000005</v>
      </c>
      <c r="I104" s="1315">
        <v>47.71</v>
      </c>
    </row>
    <row r="105" spans="1:13">
      <c r="A105" s="1323">
        <v>102</v>
      </c>
      <c r="B105" s="1330" t="s">
        <v>432</v>
      </c>
      <c r="C105" s="1325" t="s">
        <v>320</v>
      </c>
      <c r="D105" s="1319">
        <v>441629</v>
      </c>
      <c r="E105" s="1320">
        <v>17</v>
      </c>
      <c r="F105" s="1318">
        <v>12</v>
      </c>
      <c r="G105" s="600">
        <v>88.85</v>
      </c>
      <c r="H105" s="1321">
        <f t="shared" si="2"/>
        <v>125.87083333333332</v>
      </c>
      <c r="I105" s="1315">
        <v>78.02</v>
      </c>
    </row>
    <row r="106" spans="1:13">
      <c r="A106" s="1316">
        <v>103</v>
      </c>
      <c r="B106" s="1330" t="s">
        <v>433</v>
      </c>
      <c r="C106" s="1325" t="s">
        <v>320</v>
      </c>
      <c r="D106" s="1319">
        <v>249303</v>
      </c>
      <c r="E106" s="1320">
        <v>17</v>
      </c>
      <c r="F106" s="1318">
        <v>12</v>
      </c>
      <c r="G106" s="600">
        <v>59.56</v>
      </c>
      <c r="H106" s="1321">
        <f t="shared" si="2"/>
        <v>84.376666666666665</v>
      </c>
      <c r="I106" s="1315">
        <v>20</v>
      </c>
    </row>
    <row r="107" spans="1:13">
      <c r="A107" s="1323">
        <v>104</v>
      </c>
      <c r="B107" s="1330" t="s">
        <v>434</v>
      </c>
      <c r="C107" s="1325" t="s">
        <v>320</v>
      </c>
      <c r="D107" s="1319">
        <v>438806</v>
      </c>
      <c r="E107" s="1320">
        <v>17</v>
      </c>
      <c r="F107" s="1318">
        <v>12</v>
      </c>
      <c r="G107" s="600">
        <v>38.19</v>
      </c>
      <c r="H107" s="1321">
        <f t="shared" si="2"/>
        <v>54.102499999999999</v>
      </c>
      <c r="I107" s="1315">
        <v>24</v>
      </c>
    </row>
    <row r="108" spans="1:13">
      <c r="A108" s="1316">
        <v>105</v>
      </c>
      <c r="B108" s="1330" t="s">
        <v>435</v>
      </c>
      <c r="C108" s="1325" t="s">
        <v>320</v>
      </c>
      <c r="D108" s="1319">
        <v>440435</v>
      </c>
      <c r="E108" s="1320">
        <v>17</v>
      </c>
      <c r="F108" s="1318">
        <v>12</v>
      </c>
      <c r="G108" s="600">
        <v>19.399999999999999</v>
      </c>
      <c r="H108" s="1321">
        <f t="shared" si="2"/>
        <v>27.483333333333331</v>
      </c>
      <c r="I108" s="1315">
        <v>21.66</v>
      </c>
    </row>
    <row r="109" spans="1:13">
      <c r="A109" s="1323">
        <v>106</v>
      </c>
      <c r="B109" s="1330" t="s">
        <v>436</v>
      </c>
      <c r="C109" s="1325" t="s">
        <v>320</v>
      </c>
      <c r="D109" s="1319">
        <v>270167</v>
      </c>
      <c r="E109" s="1320">
        <v>17</v>
      </c>
      <c r="F109" s="1318">
        <v>60</v>
      </c>
      <c r="G109" s="600">
        <v>37.17</v>
      </c>
      <c r="H109" s="1321">
        <f t="shared" si="2"/>
        <v>10.531499999999999</v>
      </c>
      <c r="I109" s="1315">
        <v>20</v>
      </c>
    </row>
    <row r="110" spans="1:13" ht="24">
      <c r="A110" s="1316">
        <v>107</v>
      </c>
      <c r="B110" s="1324" t="s">
        <v>437</v>
      </c>
      <c r="C110" s="1325" t="s">
        <v>320</v>
      </c>
      <c r="D110" s="1319">
        <v>216760</v>
      </c>
      <c r="E110" s="1320">
        <v>17</v>
      </c>
      <c r="F110" s="1318">
        <v>60</v>
      </c>
      <c r="G110" s="600">
        <v>32.049999999999997</v>
      </c>
      <c r="H110" s="1321">
        <f t="shared" si="2"/>
        <v>9.0808333333333326</v>
      </c>
      <c r="I110" s="1315">
        <v>30</v>
      </c>
    </row>
    <row r="111" spans="1:13" ht="24">
      <c r="A111" s="1323">
        <v>108</v>
      </c>
      <c r="B111" s="1324" t="s">
        <v>438</v>
      </c>
      <c r="C111" s="1325" t="s">
        <v>320</v>
      </c>
      <c r="D111" s="1319">
        <v>271509</v>
      </c>
      <c r="E111" s="1320">
        <v>17</v>
      </c>
      <c r="F111" s="1318">
        <v>60</v>
      </c>
      <c r="G111" s="600">
        <v>23.43</v>
      </c>
      <c r="H111" s="1321">
        <f t="shared" si="2"/>
        <v>6.6384999999999996</v>
      </c>
      <c r="I111" s="1315">
        <v>16.989999999999998</v>
      </c>
    </row>
    <row r="112" spans="1:13" ht="24">
      <c r="A112" s="1316">
        <v>109</v>
      </c>
      <c r="B112" s="1324" t="s">
        <v>439</v>
      </c>
      <c r="C112" s="1325" t="s">
        <v>320</v>
      </c>
      <c r="D112" s="1319">
        <v>249986</v>
      </c>
      <c r="E112" s="1320">
        <v>17</v>
      </c>
      <c r="F112" s="1318">
        <v>60</v>
      </c>
      <c r="G112" s="600">
        <v>42.16</v>
      </c>
      <c r="H112" s="1321">
        <f t="shared" si="2"/>
        <v>11.945333333333332</v>
      </c>
      <c r="I112" s="1315">
        <v>40.04</v>
      </c>
      <c r="M112" s="1331"/>
    </row>
    <row r="113" spans="1:13">
      <c r="A113" s="1323">
        <v>110</v>
      </c>
      <c r="B113" s="1324" t="s">
        <v>440</v>
      </c>
      <c r="C113" s="1325" t="s">
        <v>320</v>
      </c>
      <c r="D113" s="1319">
        <v>460781</v>
      </c>
      <c r="E113" s="1320">
        <v>17</v>
      </c>
      <c r="F113" s="1318">
        <v>60</v>
      </c>
      <c r="G113" s="600">
        <v>310.25</v>
      </c>
      <c r="H113" s="1321">
        <f t="shared" si="2"/>
        <v>87.904166666666669</v>
      </c>
      <c r="I113" s="1315">
        <v>236.4</v>
      </c>
      <c r="M113" s="1331"/>
    </row>
    <row r="114" spans="1:13" ht="24">
      <c r="A114" s="1316">
        <v>111</v>
      </c>
      <c r="B114" s="1324" t="s">
        <v>441</v>
      </c>
      <c r="C114" s="1325" t="s">
        <v>320</v>
      </c>
      <c r="D114" s="1319">
        <v>393216</v>
      </c>
      <c r="E114" s="1320">
        <v>17</v>
      </c>
      <c r="F114" s="1318">
        <v>60</v>
      </c>
      <c r="G114" s="600">
        <v>17.04</v>
      </c>
      <c r="H114" s="1321">
        <f t="shared" si="2"/>
        <v>4.8280000000000003</v>
      </c>
      <c r="I114" s="1315">
        <v>14.47</v>
      </c>
      <c r="M114" s="1331"/>
    </row>
    <row r="115" spans="1:13">
      <c r="A115" s="1323">
        <v>112</v>
      </c>
      <c r="B115" s="1332" t="s">
        <v>442</v>
      </c>
      <c r="C115" s="1325" t="s">
        <v>320</v>
      </c>
      <c r="D115" s="1319">
        <v>430333</v>
      </c>
      <c r="E115" s="1320">
        <v>17</v>
      </c>
      <c r="F115" s="1318">
        <v>60</v>
      </c>
      <c r="G115" s="600">
        <v>243.54</v>
      </c>
      <c r="H115" s="1321">
        <f t="shared" si="2"/>
        <v>69.003</v>
      </c>
      <c r="I115" s="1315">
        <v>192.9</v>
      </c>
      <c r="M115" s="1331"/>
    </row>
    <row r="116" spans="1:13" hidden="1">
      <c r="A116" s="1316">
        <v>113</v>
      </c>
      <c r="B116" s="1324" t="s">
        <v>443</v>
      </c>
      <c r="C116" s="1325" t="s">
        <v>320</v>
      </c>
      <c r="D116" s="1319">
        <v>303943</v>
      </c>
      <c r="E116" s="1320">
        <v>21</v>
      </c>
      <c r="F116" s="1318">
        <v>60</v>
      </c>
      <c r="G116" s="1326">
        <v>34.450000000000003</v>
      </c>
      <c r="H116" s="1321"/>
      <c r="I116" s="1315">
        <v>24.37</v>
      </c>
      <c r="K116" s="1315">
        <v>12.057500000000001</v>
      </c>
      <c r="M116" s="1331"/>
    </row>
    <row r="117" spans="1:13" hidden="1">
      <c r="A117" s="1323">
        <v>114</v>
      </c>
      <c r="B117" s="1332" t="s">
        <v>444</v>
      </c>
      <c r="C117" s="1325" t="s">
        <v>320</v>
      </c>
      <c r="D117" s="1319">
        <v>449772</v>
      </c>
      <c r="E117" s="1320">
        <v>17</v>
      </c>
      <c r="F117" s="1318">
        <v>12</v>
      </c>
      <c r="G117" s="1326">
        <v>25.43</v>
      </c>
      <c r="H117" s="1321"/>
      <c r="K117" s="1315">
        <v>36.025833333333331</v>
      </c>
      <c r="M117" s="1331"/>
    </row>
    <row r="118" spans="1:13" hidden="1">
      <c r="A118" s="1316">
        <v>115</v>
      </c>
      <c r="B118" s="1332" t="s">
        <v>445</v>
      </c>
      <c r="C118" s="1325" t="s">
        <v>320</v>
      </c>
      <c r="D118" s="1319">
        <v>429961</v>
      </c>
      <c r="E118" s="1320">
        <v>17</v>
      </c>
      <c r="F118" s="1318">
        <v>1</v>
      </c>
      <c r="G118" s="1326">
        <v>5.73</v>
      </c>
      <c r="H118" s="1321"/>
      <c r="K118" s="1315">
        <v>97.410000000000011</v>
      </c>
      <c r="M118" s="1331"/>
    </row>
    <row r="119" spans="1:13" hidden="1">
      <c r="A119" s="1323">
        <v>116</v>
      </c>
      <c r="B119" s="1332" t="s">
        <v>446</v>
      </c>
      <c r="C119" s="1325" t="s">
        <v>320</v>
      </c>
      <c r="D119" s="1319">
        <v>447912</v>
      </c>
      <c r="E119" s="1320">
        <v>17</v>
      </c>
      <c r="F119" s="1318">
        <v>1</v>
      </c>
      <c r="G119" s="1326">
        <v>13.32</v>
      </c>
      <c r="H119" s="1321"/>
      <c r="K119" s="1315">
        <v>226.44</v>
      </c>
      <c r="M119" s="1331"/>
    </row>
    <row r="120" spans="1:13" hidden="1">
      <c r="A120" s="1316">
        <v>117</v>
      </c>
      <c r="B120" s="1332" t="s">
        <v>447</v>
      </c>
      <c r="C120" s="1325" t="s">
        <v>320</v>
      </c>
      <c r="D120" s="1319">
        <v>481018</v>
      </c>
      <c r="E120" s="1320">
        <v>17</v>
      </c>
      <c r="F120" s="1318">
        <v>1</v>
      </c>
      <c r="G120" s="1326">
        <v>4.95</v>
      </c>
      <c r="H120" s="1321"/>
      <c r="K120" s="1315">
        <v>84.15</v>
      </c>
      <c r="M120" s="1331"/>
    </row>
    <row r="121" spans="1:13" hidden="1">
      <c r="A121" s="1323">
        <v>118</v>
      </c>
      <c r="B121" s="1332" t="s">
        <v>448</v>
      </c>
      <c r="C121" s="1325" t="s">
        <v>320</v>
      </c>
      <c r="D121" s="1319">
        <v>300146</v>
      </c>
      <c r="E121" s="1320">
        <v>17</v>
      </c>
      <c r="F121" s="1318">
        <v>1</v>
      </c>
      <c r="G121" s="1326">
        <v>13.72</v>
      </c>
      <c r="H121" s="1321"/>
      <c r="K121" s="1315">
        <v>233.24</v>
      </c>
      <c r="M121" s="1331"/>
    </row>
    <row r="122" spans="1:13" hidden="1">
      <c r="A122" s="1316">
        <v>119</v>
      </c>
      <c r="B122" s="1332" t="s">
        <v>449</v>
      </c>
      <c r="C122" s="1325" t="s">
        <v>320</v>
      </c>
      <c r="D122" s="1319">
        <v>481028</v>
      </c>
      <c r="E122" s="1320">
        <v>17</v>
      </c>
      <c r="F122" s="1318">
        <v>1</v>
      </c>
      <c r="G122" s="1326">
        <v>4.03</v>
      </c>
      <c r="H122" s="1321"/>
      <c r="K122" s="1315">
        <v>68.510000000000005</v>
      </c>
      <c r="M122" s="1331"/>
    </row>
    <row r="123" spans="1:13" ht="21.75" customHeight="1">
      <c r="A123" s="1333" t="s">
        <v>450</v>
      </c>
      <c r="B123" s="1334"/>
      <c r="C123" s="1334"/>
      <c r="D123" s="1334"/>
      <c r="E123" s="1334"/>
      <c r="F123" s="1334"/>
      <c r="G123" s="1335"/>
      <c r="H123" s="1336">
        <f>SUM(H5:H122)</f>
        <v>4000.9898333333326</v>
      </c>
      <c r="I123" s="1336">
        <f>SUM(I5:I122)</f>
        <v>5888.7000000000007</v>
      </c>
      <c r="M123" s="1331"/>
    </row>
    <row r="124" spans="1:13" ht="21.75" customHeight="1">
      <c r="A124" s="1333" t="s">
        <v>451</v>
      </c>
      <c r="B124" s="1334"/>
      <c r="C124" s="1334"/>
      <c r="D124" s="1334"/>
      <c r="E124" s="1334"/>
      <c r="F124" s="1334"/>
      <c r="G124" s="1335"/>
      <c r="H124" s="1321">
        <f>'Modelo de Proposta'!$G$48</f>
        <v>51</v>
      </c>
      <c r="M124" s="1331"/>
    </row>
    <row r="125" spans="1:13" ht="21.75" customHeight="1">
      <c r="A125" s="1333" t="s">
        <v>452</v>
      </c>
      <c r="B125" s="1334"/>
      <c r="C125" s="1334"/>
      <c r="D125" s="1334"/>
      <c r="E125" s="1334"/>
      <c r="F125" s="1334"/>
      <c r="G125" s="1335"/>
      <c r="H125" s="1337">
        <f>ROUND(H123/H124,2)</f>
        <v>78.45</v>
      </c>
      <c r="I125" s="1322">
        <f>I123/60</f>
        <v>98.14500000000001</v>
      </c>
    </row>
  </sheetData>
  <mergeCells count="6">
    <mergeCell ref="A3:H3"/>
    <mergeCell ref="A123:G123"/>
    <mergeCell ref="A124:G124"/>
    <mergeCell ref="A125:G125"/>
    <mergeCell ref="B1:H1"/>
    <mergeCell ref="A2:H2"/>
  </mergeCells>
  <phoneticPr fontId="87" type="noConversion"/>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59308-0556-4EFB-B0B3-618EE7F5D2F0}">
  <dimension ref="A1:AR33"/>
  <sheetViews>
    <sheetView showGridLines="0" zoomScale="118" zoomScaleNormal="118" workbookViewId="0">
      <selection activeCell="G6" sqref="G6:G28"/>
    </sheetView>
  </sheetViews>
  <sheetFormatPr defaultRowHeight="12"/>
  <cols>
    <col min="1" max="1" width="8.125" style="1310" customWidth="1"/>
    <col min="2" max="2" width="78.5" style="1310" customWidth="1"/>
    <col min="3" max="3" width="6.625" style="1310" bestFit="1" customWidth="1"/>
    <col min="4" max="4" width="6.125" style="1369" bestFit="1" customWidth="1"/>
    <col min="5" max="5" width="6" style="1310" bestFit="1" customWidth="1"/>
    <col min="6" max="6" width="6.625" style="1310" bestFit="1" customWidth="1"/>
    <col min="7" max="7" width="14.625" style="1310" customWidth="1"/>
    <col min="8" max="8" width="10.25" style="1310" bestFit="1" customWidth="1"/>
    <col min="9" max="16384" width="9" style="1310"/>
  </cols>
  <sheetData>
    <row r="1" spans="1:11" s="1184" customFormat="1" ht="51" customHeight="1">
      <c r="A1" s="1182"/>
      <c r="B1" s="1340" t="s">
        <v>243</v>
      </c>
      <c r="C1" s="1341"/>
      <c r="D1" s="1341"/>
      <c r="E1" s="1341"/>
      <c r="F1" s="1341"/>
      <c r="G1" s="1341"/>
      <c r="H1" s="1341"/>
      <c r="I1" s="1306"/>
      <c r="J1" s="1306"/>
      <c r="K1" s="1306"/>
    </row>
    <row r="2" spans="1:11" s="1184" customFormat="1" ht="30.75" customHeight="1" thickBot="1">
      <c r="A2" s="1307" t="s">
        <v>2</v>
      </c>
      <c r="B2" s="1307"/>
      <c r="C2" s="1307"/>
      <c r="D2" s="1307"/>
      <c r="E2" s="1307"/>
      <c r="F2" s="1307"/>
      <c r="G2" s="1307"/>
      <c r="H2" s="1307"/>
      <c r="I2" s="1306"/>
      <c r="J2" s="1306"/>
      <c r="K2" s="1306"/>
    </row>
    <row r="3" spans="1:11" ht="43.5" customHeight="1">
      <c r="A3" s="1308" t="s">
        <v>282</v>
      </c>
      <c r="B3" s="1309"/>
      <c r="C3" s="1309"/>
      <c r="D3" s="1309"/>
      <c r="E3" s="1309"/>
      <c r="F3" s="1309"/>
      <c r="G3" s="1309"/>
      <c r="H3" s="1309"/>
    </row>
    <row r="4" spans="1:11" ht="12.75" thickBot="1">
      <c r="A4" s="1342" t="s">
        <v>453</v>
      </c>
      <c r="B4" s="1342"/>
      <c r="C4" s="1342"/>
      <c r="D4" s="1342"/>
      <c r="E4" s="1342"/>
      <c r="F4" s="1342"/>
      <c r="G4" s="1342"/>
      <c r="H4" s="1342"/>
      <c r="I4" s="1343"/>
    </row>
    <row r="5" spans="1:11" ht="48" thickBot="1">
      <c r="A5" s="1344" t="s">
        <v>3</v>
      </c>
      <c r="B5" s="1344" t="s">
        <v>311</v>
      </c>
      <c r="C5" s="1344" t="s">
        <v>454</v>
      </c>
      <c r="D5" s="1344" t="s">
        <v>313</v>
      </c>
      <c r="E5" s="1344" t="s">
        <v>455</v>
      </c>
      <c r="F5" s="1344" t="s">
        <v>314</v>
      </c>
      <c r="G5" s="1312" t="s">
        <v>316</v>
      </c>
      <c r="H5" s="1344" t="s">
        <v>456</v>
      </c>
      <c r="I5" s="1343"/>
    </row>
    <row r="6" spans="1:11" ht="24">
      <c r="A6" s="1345">
        <v>1</v>
      </c>
      <c r="B6" s="1346" t="s">
        <v>457</v>
      </c>
      <c r="C6" s="1316" t="s">
        <v>454</v>
      </c>
      <c r="D6" s="1347">
        <v>621681</v>
      </c>
      <c r="E6" s="1348">
        <v>60</v>
      </c>
      <c r="F6" s="1318">
        <v>17</v>
      </c>
      <c r="G6" s="602">
        <v>139.86000000000001</v>
      </c>
      <c r="H6" s="603">
        <f>(G6*F6)/E6</f>
        <v>39.627000000000002</v>
      </c>
      <c r="I6" s="1349"/>
    </row>
    <row r="7" spans="1:11">
      <c r="A7" s="1345">
        <v>2</v>
      </c>
      <c r="B7" s="1346" t="s">
        <v>458</v>
      </c>
      <c r="C7" s="1316" t="s">
        <v>454</v>
      </c>
      <c r="D7" s="1350">
        <v>481181</v>
      </c>
      <c r="E7" s="1351">
        <v>60</v>
      </c>
      <c r="F7" s="1318">
        <v>17</v>
      </c>
      <c r="G7" s="602">
        <v>917.89</v>
      </c>
      <c r="H7" s="603">
        <f t="shared" ref="H7:H27" si="0">(G7*F7)/E7</f>
        <v>260.06883333333332</v>
      </c>
      <c r="I7" s="1349"/>
    </row>
    <row r="8" spans="1:11" ht="24">
      <c r="A8" s="1345">
        <v>3</v>
      </c>
      <c r="B8" s="1352" t="s">
        <v>459</v>
      </c>
      <c r="C8" s="1323" t="s">
        <v>454</v>
      </c>
      <c r="D8" s="1347">
        <v>437101</v>
      </c>
      <c r="E8" s="1353">
        <v>60</v>
      </c>
      <c r="F8" s="1318">
        <v>17</v>
      </c>
      <c r="G8" s="602">
        <v>2140.87</v>
      </c>
      <c r="H8" s="603">
        <f t="shared" si="0"/>
        <v>606.57983333333334</v>
      </c>
      <c r="I8" s="1343"/>
    </row>
    <row r="9" spans="1:11" ht="36">
      <c r="A9" s="1345">
        <v>4</v>
      </c>
      <c r="B9" s="1352" t="s">
        <v>460</v>
      </c>
      <c r="C9" s="1323" t="s">
        <v>454</v>
      </c>
      <c r="D9" s="1350">
        <v>312461</v>
      </c>
      <c r="E9" s="1353">
        <v>60</v>
      </c>
      <c r="F9" s="1318">
        <v>17</v>
      </c>
      <c r="G9" s="602">
        <v>1448.44</v>
      </c>
      <c r="H9" s="603">
        <f t="shared" si="0"/>
        <v>410.39133333333331</v>
      </c>
      <c r="I9" s="1343"/>
    </row>
    <row r="10" spans="1:11" ht="24">
      <c r="A10" s="1345">
        <v>5</v>
      </c>
      <c r="B10" s="1352" t="s">
        <v>461</v>
      </c>
      <c r="C10" s="1323" t="s">
        <v>454</v>
      </c>
      <c r="D10" s="1350">
        <v>235153</v>
      </c>
      <c r="E10" s="1353">
        <v>60</v>
      </c>
      <c r="F10" s="1318">
        <v>17</v>
      </c>
      <c r="G10" s="602">
        <v>150.71</v>
      </c>
      <c r="H10" s="603">
        <f t="shared" si="0"/>
        <v>42.701166666666673</v>
      </c>
      <c r="I10" s="1343"/>
    </row>
    <row r="11" spans="1:11" ht="24">
      <c r="A11" s="1345">
        <v>6</v>
      </c>
      <c r="B11" s="1352" t="s">
        <v>462</v>
      </c>
      <c r="C11" s="1323" t="s">
        <v>454</v>
      </c>
      <c r="D11" s="1350">
        <v>378826</v>
      </c>
      <c r="E11" s="1353">
        <v>60</v>
      </c>
      <c r="F11" s="1318">
        <v>17</v>
      </c>
      <c r="G11" s="602">
        <v>139.07</v>
      </c>
      <c r="H11" s="603">
        <f t="shared" si="0"/>
        <v>39.403166666666671</v>
      </c>
      <c r="I11" s="1343"/>
    </row>
    <row r="12" spans="1:11" ht="24">
      <c r="A12" s="1345">
        <v>7</v>
      </c>
      <c r="B12" s="1352" t="s">
        <v>463</v>
      </c>
      <c r="C12" s="1323" t="s">
        <v>454</v>
      </c>
      <c r="D12" s="1347">
        <v>615132</v>
      </c>
      <c r="E12" s="1353">
        <v>60</v>
      </c>
      <c r="F12" s="1318">
        <v>17</v>
      </c>
      <c r="G12" s="602">
        <v>776.08</v>
      </c>
      <c r="H12" s="603">
        <f t="shared" si="0"/>
        <v>219.88933333333335</v>
      </c>
      <c r="I12" s="1343"/>
    </row>
    <row r="13" spans="1:11" ht="24">
      <c r="A13" s="1345">
        <v>8</v>
      </c>
      <c r="B13" s="1352" t="s">
        <v>464</v>
      </c>
      <c r="C13" s="1323" t="s">
        <v>454</v>
      </c>
      <c r="D13" s="1350">
        <v>423356</v>
      </c>
      <c r="E13" s="1353">
        <v>60</v>
      </c>
      <c r="F13" s="1318">
        <v>17</v>
      </c>
      <c r="G13" s="602">
        <v>440.97</v>
      </c>
      <c r="H13" s="603">
        <f t="shared" si="0"/>
        <v>124.9415</v>
      </c>
      <c r="I13" s="1343"/>
    </row>
    <row r="14" spans="1:11" ht="24">
      <c r="A14" s="1345">
        <v>9</v>
      </c>
      <c r="B14" s="1352" t="s">
        <v>465</v>
      </c>
      <c r="C14" s="1323" t="s">
        <v>454</v>
      </c>
      <c r="D14" s="1350">
        <v>305581</v>
      </c>
      <c r="E14" s="1353">
        <v>60</v>
      </c>
      <c r="F14" s="1318">
        <v>17</v>
      </c>
      <c r="G14" s="602">
        <v>1004.12</v>
      </c>
      <c r="H14" s="603">
        <f t="shared" si="0"/>
        <v>284.50066666666669</v>
      </c>
      <c r="I14" s="1343"/>
    </row>
    <row r="15" spans="1:11" ht="23.25" customHeight="1">
      <c r="A15" s="1345">
        <v>10</v>
      </c>
      <c r="B15" s="1354" t="s">
        <v>466</v>
      </c>
      <c r="C15" s="1355" t="s">
        <v>454</v>
      </c>
      <c r="D15" s="1347">
        <v>607558</v>
      </c>
      <c r="E15" s="1353">
        <v>60</v>
      </c>
      <c r="F15" s="1318">
        <v>17</v>
      </c>
      <c r="G15" s="602">
        <v>3784.65</v>
      </c>
      <c r="H15" s="603">
        <f t="shared" si="0"/>
        <v>1072.3175000000001</v>
      </c>
      <c r="I15" s="1343"/>
    </row>
    <row r="16" spans="1:11">
      <c r="A16" s="1345">
        <v>11</v>
      </c>
      <c r="B16" s="1354" t="s">
        <v>467</v>
      </c>
      <c r="C16" s="1355" t="s">
        <v>454</v>
      </c>
      <c r="D16" s="1350">
        <v>245530</v>
      </c>
      <c r="E16" s="1356">
        <v>60</v>
      </c>
      <c r="F16" s="1318">
        <v>17</v>
      </c>
      <c r="G16" s="602">
        <v>40.1</v>
      </c>
      <c r="H16" s="603">
        <f t="shared" si="0"/>
        <v>11.361666666666668</v>
      </c>
      <c r="I16" s="1343"/>
    </row>
    <row r="17" spans="1:44">
      <c r="A17" s="1345">
        <v>12</v>
      </c>
      <c r="B17" s="1352" t="s">
        <v>468</v>
      </c>
      <c r="C17" s="1355" t="s">
        <v>454</v>
      </c>
      <c r="D17" s="1347">
        <v>619046</v>
      </c>
      <c r="E17" s="1356">
        <v>60</v>
      </c>
      <c r="F17" s="1318">
        <v>17</v>
      </c>
      <c r="G17" s="602">
        <v>147.24</v>
      </c>
      <c r="H17" s="603">
        <f t="shared" si="0"/>
        <v>41.717999999999996</v>
      </c>
      <c r="I17" s="1343"/>
    </row>
    <row r="18" spans="1:44">
      <c r="A18" s="1345">
        <v>13</v>
      </c>
      <c r="B18" s="1352" t="s">
        <v>469</v>
      </c>
      <c r="C18" s="1355" t="s">
        <v>454</v>
      </c>
      <c r="D18" s="1347">
        <v>455729</v>
      </c>
      <c r="E18" s="1356">
        <v>60</v>
      </c>
      <c r="F18" s="1318">
        <v>1</v>
      </c>
      <c r="G18" s="602">
        <v>3671</v>
      </c>
      <c r="H18" s="603">
        <f t="shared" si="0"/>
        <v>61.18333333333333</v>
      </c>
    </row>
    <row r="19" spans="1:44">
      <c r="A19" s="1345">
        <v>14</v>
      </c>
      <c r="B19" s="1352" t="s">
        <v>470</v>
      </c>
      <c r="C19" s="1355" t="s">
        <v>454</v>
      </c>
      <c r="D19" s="1350">
        <v>341885</v>
      </c>
      <c r="E19" s="1355">
        <v>60</v>
      </c>
      <c r="F19" s="1318">
        <v>17</v>
      </c>
      <c r="G19" s="602">
        <v>328.97</v>
      </c>
      <c r="H19" s="603">
        <f t="shared" si="0"/>
        <v>93.208166666666685</v>
      </c>
    </row>
    <row r="20" spans="1:44">
      <c r="A20" s="1345">
        <v>15</v>
      </c>
      <c r="B20" s="1352" t="s">
        <v>471</v>
      </c>
      <c r="C20" s="1355" t="s">
        <v>454</v>
      </c>
      <c r="D20" s="1350">
        <v>480821</v>
      </c>
      <c r="E20" s="1355">
        <v>60</v>
      </c>
      <c r="F20" s="1318">
        <v>17</v>
      </c>
      <c r="G20" s="602">
        <v>2402.65</v>
      </c>
      <c r="H20" s="603">
        <f t="shared" si="0"/>
        <v>680.75083333333339</v>
      </c>
    </row>
    <row r="21" spans="1:44">
      <c r="A21" s="1345">
        <v>16</v>
      </c>
      <c r="B21" s="1352" t="s">
        <v>472</v>
      </c>
      <c r="C21" s="1355" t="s">
        <v>454</v>
      </c>
      <c r="D21" s="1350">
        <v>481441</v>
      </c>
      <c r="E21" s="1355">
        <v>60</v>
      </c>
      <c r="F21" s="1318">
        <v>17</v>
      </c>
      <c r="G21" s="602">
        <v>440.18</v>
      </c>
      <c r="H21" s="603">
        <f t="shared" si="0"/>
        <v>124.71766666666667</v>
      </c>
    </row>
    <row r="22" spans="1:44">
      <c r="A22" s="1345">
        <v>17</v>
      </c>
      <c r="B22" s="1352" t="s">
        <v>473</v>
      </c>
      <c r="C22" s="1355" t="s">
        <v>454</v>
      </c>
      <c r="D22" s="1350">
        <v>468327</v>
      </c>
      <c r="E22" s="1355">
        <v>60</v>
      </c>
      <c r="F22" s="1318">
        <v>17</v>
      </c>
      <c r="G22" s="602">
        <v>117.84</v>
      </c>
      <c r="H22" s="603">
        <f t="shared" si="0"/>
        <v>33.387999999999998</v>
      </c>
    </row>
    <row r="23" spans="1:44">
      <c r="A23" s="1345">
        <v>18</v>
      </c>
      <c r="B23" s="1352" t="s">
        <v>474</v>
      </c>
      <c r="C23" s="1355" t="s">
        <v>454</v>
      </c>
      <c r="D23" s="1350">
        <v>472323</v>
      </c>
      <c r="E23" s="1355">
        <v>60</v>
      </c>
      <c r="F23" s="1318">
        <v>17</v>
      </c>
      <c r="G23" s="602">
        <v>710</v>
      </c>
      <c r="H23" s="603">
        <f t="shared" si="0"/>
        <v>201.16666666666666</v>
      </c>
    </row>
    <row r="24" spans="1:44">
      <c r="A24" s="1345">
        <v>19</v>
      </c>
      <c r="B24" s="1357" t="s">
        <v>475</v>
      </c>
      <c r="C24" s="1355" t="s">
        <v>454</v>
      </c>
      <c r="D24" s="1350">
        <v>609923</v>
      </c>
      <c r="E24" s="1355">
        <v>60</v>
      </c>
      <c r="F24" s="1318">
        <v>17</v>
      </c>
      <c r="G24" s="602">
        <v>158.5</v>
      </c>
      <c r="H24" s="603">
        <f>(G24*F24)/E24</f>
        <v>44.908333333333331</v>
      </c>
      <c r="AQ24" s="1358"/>
      <c r="AR24" s="1358"/>
    </row>
    <row r="25" spans="1:44">
      <c r="A25" s="1345">
        <v>20</v>
      </c>
      <c r="B25" s="1359" t="s">
        <v>476</v>
      </c>
      <c r="C25" s="1355" t="s">
        <v>454</v>
      </c>
      <c r="D25" s="1350">
        <v>611659</v>
      </c>
      <c r="E25" s="1355">
        <v>60</v>
      </c>
      <c r="F25" s="1318">
        <v>17</v>
      </c>
      <c r="G25" s="602">
        <v>179.89</v>
      </c>
      <c r="H25" s="603">
        <f t="shared" si="0"/>
        <v>50.968833333333329</v>
      </c>
      <c r="AQ25" s="1358"/>
      <c r="AR25" s="1358"/>
    </row>
    <row r="26" spans="1:44">
      <c r="A26" s="1345">
        <v>21</v>
      </c>
      <c r="B26" s="1352" t="s">
        <v>477</v>
      </c>
      <c r="C26" s="1355" t="s">
        <v>454</v>
      </c>
      <c r="D26" s="1350" t="s">
        <v>478</v>
      </c>
      <c r="E26" s="1355">
        <v>60</v>
      </c>
      <c r="F26" s="1318">
        <v>17</v>
      </c>
      <c r="G26" s="602">
        <v>277.99</v>
      </c>
      <c r="H26" s="603">
        <f t="shared" si="0"/>
        <v>78.763833333333338</v>
      </c>
      <c r="AQ26" s="1358"/>
      <c r="AR26" s="1358"/>
    </row>
    <row r="27" spans="1:44">
      <c r="A27" s="1345">
        <v>22</v>
      </c>
      <c r="B27" s="1352" t="s">
        <v>479</v>
      </c>
      <c r="C27" s="1355"/>
      <c r="D27" s="1359">
        <v>617849</v>
      </c>
      <c r="E27" s="1355">
        <v>60</v>
      </c>
      <c r="F27" s="1318">
        <v>17</v>
      </c>
      <c r="G27" s="602">
        <v>1130.67</v>
      </c>
      <c r="H27" s="603">
        <f t="shared" si="0"/>
        <v>320.35649999999998</v>
      </c>
      <c r="AQ27" s="1358"/>
      <c r="AR27" s="1358"/>
    </row>
    <row r="28" spans="1:44" ht="24">
      <c r="A28" s="1345">
        <v>23</v>
      </c>
      <c r="B28" s="1352" t="s">
        <v>480</v>
      </c>
      <c r="C28" s="1355" t="s">
        <v>454</v>
      </c>
      <c r="D28" s="1359">
        <v>613077</v>
      </c>
      <c r="E28" s="1355">
        <v>60</v>
      </c>
      <c r="F28" s="1318">
        <v>17</v>
      </c>
      <c r="G28" s="602">
        <v>1400.5</v>
      </c>
      <c r="H28" s="603">
        <f>(G28*F28)/E28</f>
        <v>396.80833333333334</v>
      </c>
      <c r="I28" s="1339"/>
    </row>
    <row r="29" spans="1:44" ht="12.75">
      <c r="A29" s="1360" t="s">
        <v>481</v>
      </c>
      <c r="B29" s="1361"/>
      <c r="C29" s="1361"/>
      <c r="D29" s="1361"/>
      <c r="E29" s="1361"/>
      <c r="F29" s="1361"/>
      <c r="G29" s="1361"/>
      <c r="H29" s="1336">
        <f>SUM(H6:H28)</f>
        <v>5239.7205000000013</v>
      </c>
    </row>
    <row r="30" spans="1:44" ht="12.75">
      <c r="A30" s="1360" t="s">
        <v>451</v>
      </c>
      <c r="B30" s="1361"/>
      <c r="C30" s="1361"/>
      <c r="D30" s="1361"/>
      <c r="E30" s="1361"/>
      <c r="F30" s="1361"/>
      <c r="G30" s="1362"/>
      <c r="H30" s="1363">
        <f>'Modelo de Proposta'!G48</f>
        <v>51</v>
      </c>
    </row>
    <row r="31" spans="1:44" ht="12.75">
      <c r="A31" s="1364" t="s">
        <v>482</v>
      </c>
      <c r="B31" s="1365"/>
      <c r="C31" s="1365"/>
      <c r="D31" s="1365"/>
      <c r="E31" s="1365"/>
      <c r="F31" s="1365"/>
      <c r="G31" s="1365"/>
      <c r="H31" s="1336">
        <f>ROUND(H29/H30,2)</f>
        <v>102.74</v>
      </c>
    </row>
    <row r="32" spans="1:44">
      <c r="A32" s="1366"/>
      <c r="B32" s="1366"/>
      <c r="C32" s="1366"/>
      <c r="D32" s="1367"/>
      <c r="E32" s="1366"/>
      <c r="F32" s="1366"/>
      <c r="G32" s="1368"/>
      <c r="H32" s="1368"/>
    </row>
    <row r="33" spans="1:8">
      <c r="A33" s="1366"/>
      <c r="B33" s="1366"/>
      <c r="C33" s="1366"/>
      <c r="D33" s="1367"/>
      <c r="E33" s="1366"/>
      <c r="F33" s="1366"/>
      <c r="G33" s="1368"/>
      <c r="H33" s="1368"/>
    </row>
  </sheetData>
  <mergeCells count="6">
    <mergeCell ref="A2:H2"/>
    <mergeCell ref="A4:H4"/>
    <mergeCell ref="A31:G31"/>
    <mergeCell ref="A30:G30"/>
    <mergeCell ref="A29:G29"/>
    <mergeCell ref="A3:H3"/>
  </mergeCells>
  <pageMargins left="0.511811024" right="0.511811024" top="0.78740157499999996" bottom="0.78740157499999996" header="0.31496062000000002" footer="0.31496062000000002"/>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sheetPr>
  <dimension ref="A1:BO201"/>
  <sheetViews>
    <sheetView showGridLines="0" topLeftCell="C184" zoomScale="115" zoomScaleNormal="115" workbookViewId="0">
      <selection activeCell="I199" sqref="I199"/>
    </sheetView>
  </sheetViews>
  <sheetFormatPr defaultColWidth="8.75" defaultRowHeight="12"/>
  <cols>
    <col min="1" max="1" width="9.125" style="580" bestFit="1" customWidth="1"/>
    <col min="2" max="2" width="7.5" style="580" customWidth="1"/>
    <col min="3" max="3" width="9" style="580" bestFit="1" customWidth="1"/>
    <col min="4" max="4" width="69.75" style="581" customWidth="1"/>
    <col min="5" max="5" width="8.875" style="577" bestFit="1" customWidth="1"/>
    <col min="6" max="6" width="8.75" style="373"/>
    <col min="7" max="7" width="9.875" style="576" bestFit="1" customWidth="1"/>
    <col min="8" max="8" width="17.625" style="582" customWidth="1"/>
    <col min="9" max="9" width="15.25" style="583" customWidth="1"/>
    <col min="10" max="10" width="8.75" style="576"/>
    <col min="11" max="11" width="9.875" style="377" bestFit="1" customWidth="1"/>
    <col min="12" max="13" width="8.75" style="377"/>
    <col min="14" max="16" width="8.75" style="507"/>
    <col min="17" max="26" width="8.75" style="377"/>
    <col min="27" max="29" width="8.75" style="507"/>
    <col min="30" max="41" width="8.75" style="377"/>
    <col min="42" max="43" width="8.75" style="373"/>
    <col min="44" max="44" width="8.75" style="377"/>
    <col min="45" max="45" width="8.75" style="576"/>
    <col min="46" max="46" width="8.75" style="377"/>
    <col min="47" max="48" width="8.75" style="576"/>
    <col min="49" max="51" width="8.75" style="377"/>
    <col min="52" max="54" width="8.75" style="507"/>
    <col min="55" max="64" width="8.75" style="377"/>
    <col min="65" max="67" width="8.75" style="507"/>
    <col min="68" max="16384" width="8.75" style="377"/>
  </cols>
  <sheetData>
    <row r="1" spans="1:43" s="655" customFormat="1" ht="50.25" customHeight="1">
      <c r="A1" s="752"/>
      <c r="B1" s="869" t="s">
        <v>243</v>
      </c>
      <c r="C1" s="869"/>
      <c r="D1" s="869"/>
      <c r="E1" s="869"/>
      <c r="F1" s="869"/>
      <c r="G1" s="869"/>
      <c r="H1" s="869"/>
      <c r="I1" s="869"/>
      <c r="J1" s="596"/>
      <c r="K1" s="596"/>
    </row>
    <row r="2" spans="1:43" s="507" customFormat="1" ht="73.5" customHeight="1">
      <c r="A2" s="870" t="s">
        <v>483</v>
      </c>
      <c r="B2" s="871"/>
      <c r="C2" s="871"/>
      <c r="D2" s="871"/>
      <c r="E2" s="871"/>
      <c r="F2" s="871"/>
      <c r="G2" s="871"/>
      <c r="H2" s="871"/>
      <c r="I2" s="871"/>
    </row>
    <row r="3" spans="1:43" ht="24.75" customHeight="1">
      <c r="A3" s="872" t="s">
        <v>484</v>
      </c>
      <c r="B3" s="872"/>
      <c r="C3" s="872"/>
      <c r="D3" s="872"/>
      <c r="E3" s="872"/>
      <c r="F3" s="872"/>
      <c r="G3" s="872"/>
      <c r="H3" s="872"/>
      <c r="I3" s="872"/>
    </row>
    <row r="4" spans="1:43" ht="39" customHeight="1" thickBot="1">
      <c r="A4" s="753">
        <v>1</v>
      </c>
      <c r="B4" s="868" t="s">
        <v>485</v>
      </c>
      <c r="C4" s="868"/>
      <c r="D4" s="868"/>
      <c r="E4" s="868"/>
      <c r="F4" s="868"/>
      <c r="G4" s="868"/>
      <c r="H4" s="868"/>
      <c r="I4" s="868"/>
    </row>
    <row r="5" spans="1:43" ht="42.75" customHeight="1" thickBot="1">
      <c r="A5" s="754"/>
      <c r="B5" s="755" t="s">
        <v>486</v>
      </c>
      <c r="C5" s="755" t="s">
        <v>487</v>
      </c>
      <c r="D5" s="755" t="s">
        <v>488</v>
      </c>
      <c r="E5" s="755" t="s">
        <v>489</v>
      </c>
      <c r="F5" s="755" t="s">
        <v>490</v>
      </c>
      <c r="G5" s="755" t="s">
        <v>491</v>
      </c>
      <c r="H5" s="756" t="s">
        <v>316</v>
      </c>
      <c r="I5" s="755" t="s">
        <v>492</v>
      </c>
    </row>
    <row r="6" spans="1:43" s="507" customFormat="1" ht="24">
      <c r="A6" s="757" t="s">
        <v>493</v>
      </c>
      <c r="B6" s="758">
        <v>38154</v>
      </c>
      <c r="C6" s="757" t="s">
        <v>494</v>
      </c>
      <c r="D6" s="757" t="s">
        <v>495</v>
      </c>
      <c r="E6" s="759" t="s">
        <v>496</v>
      </c>
      <c r="F6" s="759" t="s">
        <v>497</v>
      </c>
      <c r="G6" s="760">
        <v>100</v>
      </c>
      <c r="H6" s="761">
        <v>47.58</v>
      </c>
      <c r="I6" s="762">
        <f t="shared" ref="I6:I26" si="0">H6*G6</f>
        <v>4758</v>
      </c>
      <c r="AP6" s="604"/>
      <c r="AQ6" s="604"/>
    </row>
    <row r="7" spans="1:43" s="507" customFormat="1">
      <c r="A7" s="757" t="s">
        <v>493</v>
      </c>
      <c r="B7" s="758">
        <v>36550</v>
      </c>
      <c r="C7" s="757" t="s">
        <v>498</v>
      </c>
      <c r="D7" s="757" t="s">
        <v>499</v>
      </c>
      <c r="E7" s="759" t="s">
        <v>496</v>
      </c>
      <c r="F7" s="759" t="s">
        <v>500</v>
      </c>
      <c r="G7" s="760">
        <v>100</v>
      </c>
      <c r="H7" s="761">
        <v>140</v>
      </c>
      <c r="I7" s="762">
        <f t="shared" si="0"/>
        <v>14000</v>
      </c>
      <c r="AP7" s="604"/>
      <c r="AQ7" s="604"/>
    </row>
    <row r="8" spans="1:43" s="507" customFormat="1">
      <c r="A8" s="757" t="s">
        <v>493</v>
      </c>
      <c r="B8" s="758">
        <v>2</v>
      </c>
      <c r="C8" s="757" t="s">
        <v>501</v>
      </c>
      <c r="D8" s="757" t="s">
        <v>502</v>
      </c>
      <c r="E8" s="759" t="s">
        <v>496</v>
      </c>
      <c r="F8" s="759" t="s">
        <v>503</v>
      </c>
      <c r="G8" s="760">
        <v>200</v>
      </c>
      <c r="H8" s="761">
        <v>10.8</v>
      </c>
      <c r="I8" s="762">
        <f t="shared" si="0"/>
        <v>2160</v>
      </c>
      <c r="AP8" s="604"/>
      <c r="AQ8" s="604"/>
    </row>
    <row r="9" spans="1:43" s="507" customFormat="1">
      <c r="A9" s="757" t="s">
        <v>493</v>
      </c>
      <c r="B9" s="758">
        <v>1</v>
      </c>
      <c r="C9" s="757" t="s">
        <v>501</v>
      </c>
      <c r="D9" s="757" t="s">
        <v>504</v>
      </c>
      <c r="E9" s="759" t="s">
        <v>496</v>
      </c>
      <c r="F9" s="759" t="s">
        <v>503</v>
      </c>
      <c r="G9" s="760">
        <v>200</v>
      </c>
      <c r="H9" s="761">
        <v>9.1300000000000008</v>
      </c>
      <c r="I9" s="762">
        <f t="shared" si="0"/>
        <v>1826.0000000000002</v>
      </c>
      <c r="AP9" s="604"/>
      <c r="AQ9" s="604"/>
    </row>
    <row r="10" spans="1:43" s="507" customFormat="1">
      <c r="A10" s="757" t="s">
        <v>493</v>
      </c>
      <c r="B10" s="758">
        <v>3</v>
      </c>
      <c r="C10" s="757" t="s">
        <v>501</v>
      </c>
      <c r="D10" s="757" t="s">
        <v>505</v>
      </c>
      <c r="E10" s="759" t="s">
        <v>496</v>
      </c>
      <c r="F10" s="759" t="s">
        <v>503</v>
      </c>
      <c r="G10" s="760">
        <v>100</v>
      </c>
      <c r="H10" s="761">
        <v>13.86</v>
      </c>
      <c r="I10" s="762">
        <f t="shared" si="0"/>
        <v>1386</v>
      </c>
      <c r="AP10" s="604"/>
      <c r="AQ10" s="604"/>
    </row>
    <row r="11" spans="1:43" s="507" customFormat="1">
      <c r="A11" s="757" t="s">
        <v>493</v>
      </c>
      <c r="B11" s="758">
        <v>4</v>
      </c>
      <c r="C11" s="757" t="s">
        <v>501</v>
      </c>
      <c r="D11" s="757" t="s">
        <v>506</v>
      </c>
      <c r="E11" s="759" t="s">
        <v>496</v>
      </c>
      <c r="F11" s="759" t="s">
        <v>503</v>
      </c>
      <c r="G11" s="760">
        <v>100</v>
      </c>
      <c r="H11" s="761">
        <v>10.95</v>
      </c>
      <c r="I11" s="762">
        <f t="shared" si="0"/>
        <v>1095</v>
      </c>
      <c r="AP11" s="604"/>
      <c r="AQ11" s="604"/>
    </row>
    <row r="12" spans="1:43" s="507" customFormat="1">
      <c r="A12" s="757" t="s">
        <v>493</v>
      </c>
      <c r="B12" s="758">
        <v>5</v>
      </c>
      <c r="C12" s="757" t="s">
        <v>501</v>
      </c>
      <c r="D12" s="757" t="s">
        <v>507</v>
      </c>
      <c r="E12" s="759" t="s">
        <v>496</v>
      </c>
      <c r="F12" s="759" t="s">
        <v>503</v>
      </c>
      <c r="G12" s="760">
        <v>100</v>
      </c>
      <c r="H12" s="761">
        <v>4.8</v>
      </c>
      <c r="I12" s="762">
        <f t="shared" si="0"/>
        <v>480</v>
      </c>
      <c r="AP12" s="604"/>
      <c r="AQ12" s="604"/>
    </row>
    <row r="13" spans="1:43" s="507" customFormat="1">
      <c r="A13" s="757" t="s">
        <v>493</v>
      </c>
      <c r="B13" s="758">
        <v>6</v>
      </c>
      <c r="C13" s="757" t="s">
        <v>501</v>
      </c>
      <c r="D13" s="757" t="s">
        <v>508</v>
      </c>
      <c r="E13" s="759" t="s">
        <v>496</v>
      </c>
      <c r="F13" s="759" t="s">
        <v>503</v>
      </c>
      <c r="G13" s="760">
        <v>100</v>
      </c>
      <c r="H13" s="761">
        <v>4.8499999999999996</v>
      </c>
      <c r="I13" s="762">
        <f t="shared" si="0"/>
        <v>484.99999999999994</v>
      </c>
      <c r="AP13" s="604"/>
      <c r="AQ13" s="604"/>
    </row>
    <row r="14" spans="1:43" s="507" customFormat="1">
      <c r="A14" s="757" t="s">
        <v>493</v>
      </c>
      <c r="B14" s="758">
        <v>7</v>
      </c>
      <c r="C14" s="757" t="s">
        <v>501</v>
      </c>
      <c r="D14" s="757" t="s">
        <v>509</v>
      </c>
      <c r="E14" s="759" t="s">
        <v>496</v>
      </c>
      <c r="F14" s="759" t="s">
        <v>503</v>
      </c>
      <c r="G14" s="760">
        <v>100</v>
      </c>
      <c r="H14" s="761">
        <v>4.8499999999999996</v>
      </c>
      <c r="I14" s="762">
        <f t="shared" si="0"/>
        <v>484.99999999999994</v>
      </c>
      <c r="AP14" s="604"/>
      <c r="AQ14" s="604"/>
    </row>
    <row r="15" spans="1:43" s="507" customFormat="1">
      <c r="A15" s="757" t="s">
        <v>493</v>
      </c>
      <c r="B15" s="758">
        <v>8</v>
      </c>
      <c r="C15" s="757" t="s">
        <v>501</v>
      </c>
      <c r="D15" s="757" t="s">
        <v>510</v>
      </c>
      <c r="E15" s="759" t="s">
        <v>496</v>
      </c>
      <c r="F15" s="759" t="s">
        <v>503</v>
      </c>
      <c r="G15" s="760">
        <v>50</v>
      </c>
      <c r="H15" s="761">
        <v>3.83</v>
      </c>
      <c r="I15" s="762">
        <f t="shared" si="0"/>
        <v>191.5</v>
      </c>
      <c r="AP15" s="604"/>
      <c r="AQ15" s="604"/>
    </row>
    <row r="16" spans="1:43" s="507" customFormat="1">
      <c r="A16" s="757" t="s">
        <v>493</v>
      </c>
      <c r="B16" s="758">
        <v>9</v>
      </c>
      <c r="C16" s="757" t="s">
        <v>501</v>
      </c>
      <c r="D16" s="757" t="s">
        <v>511</v>
      </c>
      <c r="E16" s="759" t="s">
        <v>496</v>
      </c>
      <c r="F16" s="759" t="s">
        <v>503</v>
      </c>
      <c r="G16" s="760">
        <v>50</v>
      </c>
      <c r="H16" s="761">
        <v>3.4</v>
      </c>
      <c r="I16" s="762">
        <f t="shared" si="0"/>
        <v>170</v>
      </c>
      <c r="AP16" s="604"/>
      <c r="AQ16" s="604"/>
    </row>
    <row r="17" spans="1:46" s="507" customFormat="1">
      <c r="A17" s="757" t="s">
        <v>493</v>
      </c>
      <c r="B17" s="758">
        <v>10</v>
      </c>
      <c r="C17" s="757" t="s">
        <v>501</v>
      </c>
      <c r="D17" s="757" t="s">
        <v>512</v>
      </c>
      <c r="E17" s="759" t="s">
        <v>496</v>
      </c>
      <c r="F17" s="759" t="s">
        <v>503</v>
      </c>
      <c r="G17" s="760">
        <v>50</v>
      </c>
      <c r="H17" s="761">
        <v>2.35</v>
      </c>
      <c r="I17" s="762">
        <f t="shared" si="0"/>
        <v>117.5</v>
      </c>
      <c r="AP17" s="604"/>
      <c r="AQ17" s="604"/>
    </row>
    <row r="18" spans="1:46" s="507" customFormat="1">
      <c r="A18" s="757" t="s">
        <v>493</v>
      </c>
      <c r="B18" s="763">
        <v>11</v>
      </c>
      <c r="C18" s="757" t="s">
        <v>501</v>
      </c>
      <c r="D18" s="757" t="s">
        <v>513</v>
      </c>
      <c r="E18" s="759" t="s">
        <v>496</v>
      </c>
      <c r="F18" s="759" t="s">
        <v>503</v>
      </c>
      <c r="G18" s="760">
        <v>50</v>
      </c>
      <c r="H18" s="761">
        <v>2.4500000000000002</v>
      </c>
      <c r="I18" s="762">
        <f t="shared" si="0"/>
        <v>122.50000000000001</v>
      </c>
      <c r="AP18" s="604"/>
      <c r="AQ18" s="604"/>
    </row>
    <row r="19" spans="1:46" s="507" customFormat="1" ht="24">
      <c r="A19" s="757" t="s">
        <v>493</v>
      </c>
      <c r="B19" s="763" t="s">
        <v>514</v>
      </c>
      <c r="C19" s="757" t="s">
        <v>515</v>
      </c>
      <c r="D19" s="757" t="s">
        <v>516</v>
      </c>
      <c r="E19" s="759" t="s">
        <v>496</v>
      </c>
      <c r="F19" s="759" t="s">
        <v>500</v>
      </c>
      <c r="G19" s="760">
        <v>600</v>
      </c>
      <c r="H19" s="761">
        <v>192.13</v>
      </c>
      <c r="I19" s="762">
        <f t="shared" si="0"/>
        <v>115278</v>
      </c>
      <c r="AP19" s="604"/>
      <c r="AQ19" s="604"/>
    </row>
    <row r="20" spans="1:46" s="507" customFormat="1">
      <c r="A20" s="757" t="s">
        <v>493</v>
      </c>
      <c r="B20" s="763" t="s">
        <v>517</v>
      </c>
      <c r="C20" s="757" t="s">
        <v>518</v>
      </c>
      <c r="D20" s="757" t="s">
        <v>519</v>
      </c>
      <c r="E20" s="759" t="s">
        <v>496</v>
      </c>
      <c r="F20" s="759" t="s">
        <v>520</v>
      </c>
      <c r="G20" s="760">
        <v>50</v>
      </c>
      <c r="H20" s="761">
        <v>379.47</v>
      </c>
      <c r="I20" s="762">
        <f t="shared" si="0"/>
        <v>18973.5</v>
      </c>
      <c r="AP20" s="604"/>
      <c r="AQ20" s="604"/>
    </row>
    <row r="21" spans="1:46" s="507" customFormat="1" ht="24">
      <c r="A21" s="757" t="s">
        <v>493</v>
      </c>
      <c r="B21" s="763">
        <v>11477</v>
      </c>
      <c r="C21" s="757" t="s">
        <v>494</v>
      </c>
      <c r="D21" s="757" t="s">
        <v>521</v>
      </c>
      <c r="E21" s="759" t="s">
        <v>496</v>
      </c>
      <c r="F21" s="759" t="s">
        <v>497</v>
      </c>
      <c r="G21" s="760">
        <v>100</v>
      </c>
      <c r="H21" s="761">
        <v>72.8</v>
      </c>
      <c r="I21" s="762">
        <f t="shared" si="0"/>
        <v>7280</v>
      </c>
      <c r="AP21" s="604"/>
      <c r="AQ21" s="604"/>
    </row>
    <row r="22" spans="1:46" s="507" customFormat="1">
      <c r="A22" s="757" t="s">
        <v>493</v>
      </c>
      <c r="B22" s="758">
        <v>12</v>
      </c>
      <c r="C22" s="757" t="s">
        <v>501</v>
      </c>
      <c r="D22" s="757" t="s">
        <v>522</v>
      </c>
      <c r="E22" s="759" t="s">
        <v>496</v>
      </c>
      <c r="F22" s="759" t="s">
        <v>523</v>
      </c>
      <c r="G22" s="760">
        <v>3000</v>
      </c>
      <c r="H22" s="761">
        <v>0.08</v>
      </c>
      <c r="I22" s="762">
        <f t="shared" si="0"/>
        <v>240</v>
      </c>
      <c r="AP22" s="604"/>
      <c r="AQ22" s="604"/>
    </row>
    <row r="23" spans="1:46" s="507" customFormat="1" ht="24">
      <c r="A23" s="757" t="s">
        <v>493</v>
      </c>
      <c r="B23" s="758">
        <v>39435</v>
      </c>
      <c r="C23" s="757" t="s">
        <v>494</v>
      </c>
      <c r="D23" s="757" t="s">
        <v>524</v>
      </c>
      <c r="E23" s="759" t="s">
        <v>496</v>
      </c>
      <c r="F23" s="759" t="s">
        <v>520</v>
      </c>
      <c r="G23" s="760">
        <v>3000</v>
      </c>
      <c r="H23" s="761">
        <v>0.11</v>
      </c>
      <c r="I23" s="762">
        <f t="shared" si="0"/>
        <v>330</v>
      </c>
      <c r="AP23" s="604"/>
      <c r="AQ23" s="604"/>
    </row>
    <row r="24" spans="1:46" s="507" customFormat="1" ht="24">
      <c r="A24" s="757" t="s">
        <v>493</v>
      </c>
      <c r="B24" s="758">
        <v>39437</v>
      </c>
      <c r="C24" s="757" t="s">
        <v>494</v>
      </c>
      <c r="D24" s="757" t="s">
        <v>525</v>
      </c>
      <c r="E24" s="759" t="s">
        <v>496</v>
      </c>
      <c r="F24" s="759" t="s">
        <v>520</v>
      </c>
      <c r="G24" s="760">
        <v>3000</v>
      </c>
      <c r="H24" s="761">
        <v>0.24</v>
      </c>
      <c r="I24" s="762">
        <f t="shared" si="0"/>
        <v>720</v>
      </c>
      <c r="AP24" s="604"/>
      <c r="AQ24" s="604"/>
    </row>
    <row r="25" spans="1:46" s="507" customFormat="1">
      <c r="A25" s="757" t="s">
        <v>493</v>
      </c>
      <c r="B25" s="758">
        <v>4375</v>
      </c>
      <c r="C25" s="757" t="s">
        <v>494</v>
      </c>
      <c r="D25" s="757" t="s">
        <v>526</v>
      </c>
      <c r="E25" s="759" t="s">
        <v>496</v>
      </c>
      <c r="F25" s="759" t="s">
        <v>520</v>
      </c>
      <c r="G25" s="760">
        <v>3000</v>
      </c>
      <c r="H25" s="761">
        <v>0.08</v>
      </c>
      <c r="I25" s="762">
        <f t="shared" si="0"/>
        <v>240</v>
      </c>
      <c r="AP25" s="604"/>
      <c r="AQ25" s="604"/>
    </row>
    <row r="26" spans="1:46" s="507" customFormat="1" ht="29.25" customHeight="1">
      <c r="A26" s="757" t="s">
        <v>493</v>
      </c>
      <c r="B26" s="764">
        <v>2433</v>
      </c>
      <c r="C26" s="757" t="s">
        <v>527</v>
      </c>
      <c r="D26" s="757" t="s">
        <v>528</v>
      </c>
      <c r="E26" s="759" t="s">
        <v>496</v>
      </c>
      <c r="F26" s="759" t="s">
        <v>520</v>
      </c>
      <c r="G26" s="760">
        <v>150</v>
      </c>
      <c r="H26" s="761">
        <v>10.199999999999999</v>
      </c>
      <c r="I26" s="762">
        <f t="shared" si="0"/>
        <v>1530</v>
      </c>
      <c r="AP26" s="604"/>
      <c r="AQ26" s="604"/>
    </row>
    <row r="27" spans="1:46" ht="39" customHeight="1" thickBot="1">
      <c r="A27" s="765">
        <v>2</v>
      </c>
      <c r="B27" s="868" t="s">
        <v>529</v>
      </c>
      <c r="C27" s="868"/>
      <c r="D27" s="868"/>
      <c r="E27" s="868"/>
      <c r="F27" s="868"/>
      <c r="G27" s="868"/>
      <c r="H27" s="868"/>
      <c r="I27" s="868"/>
    </row>
    <row r="28" spans="1:46" ht="48" thickBot="1">
      <c r="A28" s="754"/>
      <c r="B28" s="755" t="s">
        <v>486</v>
      </c>
      <c r="C28" s="755" t="s">
        <v>487</v>
      </c>
      <c r="D28" s="755" t="s">
        <v>488</v>
      </c>
      <c r="E28" s="755" t="s">
        <v>489</v>
      </c>
      <c r="F28" s="755" t="s">
        <v>490</v>
      </c>
      <c r="G28" s="755" t="s">
        <v>491</v>
      </c>
      <c r="H28" s="756" t="s">
        <v>316</v>
      </c>
      <c r="I28" s="755" t="s">
        <v>492</v>
      </c>
    </row>
    <row r="29" spans="1:46" s="507" customFormat="1" ht="24">
      <c r="A29" s="757" t="s">
        <v>493</v>
      </c>
      <c r="B29" s="758">
        <v>7528</v>
      </c>
      <c r="C29" s="757" t="s">
        <v>494</v>
      </c>
      <c r="D29" s="757" t="s">
        <v>530</v>
      </c>
      <c r="E29" s="759" t="s">
        <v>496</v>
      </c>
      <c r="F29" s="759" t="s">
        <v>523</v>
      </c>
      <c r="G29" s="760">
        <v>50</v>
      </c>
      <c r="H29" s="761">
        <v>8.73</v>
      </c>
      <c r="I29" s="762">
        <f t="shared" ref="I29:I65" si="1">H29*G29</f>
        <v>436.5</v>
      </c>
      <c r="AP29" s="604"/>
      <c r="AQ29" s="604"/>
    </row>
    <row r="30" spans="1:46" s="507" customFormat="1">
      <c r="A30" s="757" t="s">
        <v>531</v>
      </c>
      <c r="B30" s="758">
        <v>100903</v>
      </c>
      <c r="C30" s="757" t="s">
        <v>494</v>
      </c>
      <c r="D30" s="757" t="s">
        <v>532</v>
      </c>
      <c r="E30" s="759" t="s">
        <v>496</v>
      </c>
      <c r="F30" s="759" t="s">
        <v>520</v>
      </c>
      <c r="G30" s="760">
        <v>150</v>
      </c>
      <c r="H30" s="761">
        <v>36.36</v>
      </c>
      <c r="I30" s="762">
        <f t="shared" si="1"/>
        <v>5454</v>
      </c>
      <c r="AP30" s="604"/>
      <c r="AQ30" s="604"/>
    </row>
    <row r="31" spans="1:46" s="606" customFormat="1" ht="24">
      <c r="A31" s="757" t="s">
        <v>493</v>
      </c>
      <c r="B31" s="758">
        <v>56002</v>
      </c>
      <c r="C31" s="757" t="s">
        <v>533</v>
      </c>
      <c r="D31" s="757" t="s">
        <v>534</v>
      </c>
      <c r="E31" s="759" t="s">
        <v>496</v>
      </c>
      <c r="F31" s="759" t="s">
        <v>520</v>
      </c>
      <c r="G31" s="760">
        <v>30</v>
      </c>
      <c r="H31" s="761"/>
      <c r="I31" s="762">
        <f t="shared" si="1"/>
        <v>0</v>
      </c>
      <c r="AS31" s="609"/>
      <c r="AT31" s="609"/>
    </row>
    <row r="32" spans="1:46" s="507" customFormat="1" ht="24">
      <c r="A32" s="757" t="s">
        <v>493</v>
      </c>
      <c r="B32" s="758">
        <v>39392</v>
      </c>
      <c r="C32" s="757" t="s">
        <v>494</v>
      </c>
      <c r="D32" s="757" t="s">
        <v>535</v>
      </c>
      <c r="E32" s="759" t="s">
        <v>496</v>
      </c>
      <c r="F32" s="759" t="s">
        <v>520</v>
      </c>
      <c r="G32" s="760">
        <v>10</v>
      </c>
      <c r="H32" s="761">
        <v>86.33</v>
      </c>
      <c r="I32" s="762">
        <f t="shared" si="1"/>
        <v>863.3</v>
      </c>
      <c r="AP32" s="604"/>
      <c r="AQ32" s="604"/>
    </row>
    <row r="33" spans="1:46" s="507" customFormat="1" ht="24">
      <c r="A33" s="757" t="s">
        <v>493</v>
      </c>
      <c r="B33" s="758">
        <v>39393</v>
      </c>
      <c r="C33" s="757" t="s">
        <v>494</v>
      </c>
      <c r="D33" s="757" t="s">
        <v>536</v>
      </c>
      <c r="E33" s="759" t="s">
        <v>496</v>
      </c>
      <c r="F33" s="759" t="s">
        <v>520</v>
      </c>
      <c r="G33" s="760">
        <v>10</v>
      </c>
      <c r="H33" s="761">
        <v>53.39</v>
      </c>
      <c r="I33" s="762">
        <f t="shared" si="1"/>
        <v>533.9</v>
      </c>
      <c r="AP33" s="604"/>
      <c r="AQ33" s="604"/>
    </row>
    <row r="34" spans="1:46" s="507" customFormat="1">
      <c r="A34" s="757" t="s">
        <v>493</v>
      </c>
      <c r="B34" s="758">
        <v>1368</v>
      </c>
      <c r="C34" s="757" t="s">
        <v>494</v>
      </c>
      <c r="D34" s="757" t="s">
        <v>537</v>
      </c>
      <c r="E34" s="759" t="s">
        <v>496</v>
      </c>
      <c r="F34" s="759" t="s">
        <v>520</v>
      </c>
      <c r="G34" s="760">
        <v>5</v>
      </c>
      <c r="H34" s="761">
        <v>91.4</v>
      </c>
      <c r="I34" s="762">
        <f t="shared" si="1"/>
        <v>457</v>
      </c>
      <c r="AP34" s="604"/>
      <c r="AQ34" s="604"/>
    </row>
    <row r="35" spans="1:46" s="507" customFormat="1">
      <c r="A35" s="757" t="s">
        <v>493</v>
      </c>
      <c r="B35" s="758">
        <v>38075</v>
      </c>
      <c r="C35" s="757" t="s">
        <v>494</v>
      </c>
      <c r="D35" s="757" t="s">
        <v>538</v>
      </c>
      <c r="E35" s="759" t="s">
        <v>496</v>
      </c>
      <c r="F35" s="759" t="s">
        <v>520</v>
      </c>
      <c r="G35" s="760">
        <v>40</v>
      </c>
      <c r="H35" s="761">
        <v>15.12</v>
      </c>
      <c r="I35" s="762">
        <f t="shared" si="1"/>
        <v>604.79999999999995</v>
      </c>
      <c r="AP35" s="604"/>
      <c r="AQ35" s="604"/>
    </row>
    <row r="36" spans="1:46" s="507" customFormat="1">
      <c r="A36" s="757" t="s">
        <v>493</v>
      </c>
      <c r="B36" s="758">
        <v>38194</v>
      </c>
      <c r="C36" s="757" t="s">
        <v>494</v>
      </c>
      <c r="D36" s="757" t="s">
        <v>539</v>
      </c>
      <c r="E36" s="759" t="s">
        <v>496</v>
      </c>
      <c r="F36" s="759" t="s">
        <v>520</v>
      </c>
      <c r="G36" s="760">
        <v>50</v>
      </c>
      <c r="H36" s="761">
        <v>4.9000000000000004</v>
      </c>
      <c r="I36" s="762">
        <f t="shared" si="1"/>
        <v>245.00000000000003</v>
      </c>
      <c r="AP36" s="604"/>
      <c r="AQ36" s="604"/>
    </row>
    <row r="37" spans="1:46" s="507" customFormat="1" ht="24">
      <c r="A37" s="757" t="s">
        <v>493</v>
      </c>
      <c r="B37" s="758">
        <v>38070</v>
      </c>
      <c r="C37" s="757" t="s">
        <v>494</v>
      </c>
      <c r="D37" s="757" t="s">
        <v>540</v>
      </c>
      <c r="E37" s="759" t="s">
        <v>496</v>
      </c>
      <c r="F37" s="759" t="s">
        <v>523</v>
      </c>
      <c r="G37" s="760">
        <v>50</v>
      </c>
      <c r="H37" s="761">
        <v>15.89</v>
      </c>
      <c r="I37" s="762">
        <f t="shared" si="1"/>
        <v>794.5</v>
      </c>
      <c r="AP37" s="604"/>
      <c r="AQ37" s="604"/>
    </row>
    <row r="38" spans="1:46" s="507" customFormat="1">
      <c r="A38" s="757" t="s">
        <v>493</v>
      </c>
      <c r="B38" s="758">
        <v>38100</v>
      </c>
      <c r="C38" s="757" t="s">
        <v>494</v>
      </c>
      <c r="D38" s="757" t="s">
        <v>541</v>
      </c>
      <c r="E38" s="759" t="s">
        <v>496</v>
      </c>
      <c r="F38" s="759" t="s">
        <v>520</v>
      </c>
      <c r="G38" s="760">
        <v>60</v>
      </c>
      <c r="H38" s="761">
        <v>2.35</v>
      </c>
      <c r="I38" s="762">
        <f t="shared" si="1"/>
        <v>141</v>
      </c>
      <c r="AP38" s="604"/>
      <c r="AQ38" s="604"/>
    </row>
    <row r="39" spans="1:46" s="606" customFormat="1" ht="24">
      <c r="A39" s="757" t="s">
        <v>493</v>
      </c>
      <c r="B39" s="758" t="s">
        <v>542</v>
      </c>
      <c r="C39" s="757" t="s">
        <v>515</v>
      </c>
      <c r="D39" s="757" t="s">
        <v>543</v>
      </c>
      <c r="E39" s="759" t="s">
        <v>496</v>
      </c>
      <c r="F39" s="759" t="s">
        <v>520</v>
      </c>
      <c r="G39" s="760">
        <v>70</v>
      </c>
      <c r="H39" s="761">
        <v>8.48</v>
      </c>
      <c r="I39" s="762">
        <f t="shared" si="1"/>
        <v>593.6</v>
      </c>
      <c r="AS39" s="609"/>
      <c r="AT39" s="609"/>
    </row>
    <row r="40" spans="1:46" s="507" customFormat="1">
      <c r="A40" s="757" t="s">
        <v>493</v>
      </c>
      <c r="B40" s="758">
        <v>34616</v>
      </c>
      <c r="C40" s="757" t="s">
        <v>494</v>
      </c>
      <c r="D40" s="757" t="s">
        <v>544</v>
      </c>
      <c r="E40" s="759" t="s">
        <v>496</v>
      </c>
      <c r="F40" s="759" t="s">
        <v>520</v>
      </c>
      <c r="G40" s="760">
        <v>60</v>
      </c>
      <c r="H40" s="761">
        <v>48.24</v>
      </c>
      <c r="I40" s="762">
        <f t="shared" si="1"/>
        <v>2894.4</v>
      </c>
      <c r="AP40" s="604"/>
      <c r="AQ40" s="604"/>
    </row>
    <row r="41" spans="1:46" s="507" customFormat="1" ht="12.75" customHeight="1">
      <c r="A41" s="757" t="s">
        <v>493</v>
      </c>
      <c r="B41" s="758">
        <v>2370</v>
      </c>
      <c r="C41" s="757" t="s">
        <v>527</v>
      </c>
      <c r="D41" s="757" t="s">
        <v>545</v>
      </c>
      <c r="E41" s="759" t="s">
        <v>496</v>
      </c>
      <c r="F41" s="759" t="s">
        <v>520</v>
      </c>
      <c r="G41" s="760">
        <v>50</v>
      </c>
      <c r="H41" s="761">
        <v>10.9</v>
      </c>
      <c r="I41" s="762">
        <f t="shared" si="1"/>
        <v>545</v>
      </c>
      <c r="AP41" s="604"/>
      <c r="AQ41" s="604"/>
    </row>
    <row r="42" spans="1:46" s="507" customFormat="1" ht="24">
      <c r="A42" s="757" t="s">
        <v>493</v>
      </c>
      <c r="B42" s="758">
        <v>979</v>
      </c>
      <c r="C42" s="757" t="s">
        <v>527</v>
      </c>
      <c r="D42" s="757" t="s">
        <v>546</v>
      </c>
      <c r="E42" s="759" t="s">
        <v>496</v>
      </c>
      <c r="F42" s="759" t="s">
        <v>547</v>
      </c>
      <c r="G42" s="760">
        <v>100</v>
      </c>
      <c r="H42" s="761">
        <v>13.74</v>
      </c>
      <c r="I42" s="762">
        <f t="shared" si="1"/>
        <v>1374</v>
      </c>
      <c r="AP42" s="604"/>
      <c r="AQ42" s="604"/>
    </row>
    <row r="43" spans="1:46" s="507" customFormat="1">
      <c r="A43" s="757" t="s">
        <v>493</v>
      </c>
      <c r="B43" s="758">
        <v>39387</v>
      </c>
      <c r="C43" s="757" t="s">
        <v>494</v>
      </c>
      <c r="D43" s="757" t="s">
        <v>532</v>
      </c>
      <c r="E43" s="759" t="s">
        <v>496</v>
      </c>
      <c r="F43" s="759" t="s">
        <v>520</v>
      </c>
      <c r="G43" s="760">
        <v>300</v>
      </c>
      <c r="H43" s="761">
        <v>9.39</v>
      </c>
      <c r="I43" s="762">
        <f t="shared" si="1"/>
        <v>2817</v>
      </c>
      <c r="AP43" s="604"/>
      <c r="AQ43" s="604"/>
    </row>
    <row r="44" spans="1:46" s="507" customFormat="1">
      <c r="A44" s="757" t="s">
        <v>493</v>
      </c>
      <c r="B44" s="758">
        <v>14</v>
      </c>
      <c r="C44" s="757" t="s">
        <v>501</v>
      </c>
      <c r="D44" s="757" t="s">
        <v>548</v>
      </c>
      <c r="E44" s="759" t="s">
        <v>496</v>
      </c>
      <c r="F44" s="759" t="s">
        <v>503</v>
      </c>
      <c r="G44" s="760">
        <v>1</v>
      </c>
      <c r="H44" s="761">
        <v>1715</v>
      </c>
      <c r="I44" s="762">
        <f t="shared" si="1"/>
        <v>1715</v>
      </c>
      <c r="AP44" s="604"/>
      <c r="AQ44" s="604"/>
    </row>
    <row r="45" spans="1:46" s="507" customFormat="1" ht="24">
      <c r="A45" s="757" t="s">
        <v>493</v>
      </c>
      <c r="B45" s="758">
        <v>43973</v>
      </c>
      <c r="C45" s="757" t="s">
        <v>527</v>
      </c>
      <c r="D45" s="757" t="s">
        <v>549</v>
      </c>
      <c r="E45" s="759" t="s">
        <v>496</v>
      </c>
      <c r="F45" s="759" t="s">
        <v>547</v>
      </c>
      <c r="G45" s="760">
        <v>1000</v>
      </c>
      <c r="H45" s="761">
        <v>4.41</v>
      </c>
      <c r="I45" s="762">
        <f t="shared" si="1"/>
        <v>4410</v>
      </c>
      <c r="AP45" s="604"/>
      <c r="AQ45" s="604"/>
    </row>
    <row r="46" spans="1:46" s="507" customFormat="1" ht="36">
      <c r="A46" s="757" t="s">
        <v>493</v>
      </c>
      <c r="B46" s="758">
        <v>1013</v>
      </c>
      <c r="C46" s="757" t="s">
        <v>494</v>
      </c>
      <c r="D46" s="757" t="s">
        <v>550</v>
      </c>
      <c r="E46" s="759" t="s">
        <v>496</v>
      </c>
      <c r="F46" s="759" t="s">
        <v>547</v>
      </c>
      <c r="G46" s="760">
        <v>600</v>
      </c>
      <c r="H46" s="761">
        <v>1.33</v>
      </c>
      <c r="I46" s="762">
        <f t="shared" si="1"/>
        <v>798</v>
      </c>
      <c r="AP46" s="604"/>
      <c r="AQ46" s="604"/>
    </row>
    <row r="47" spans="1:46" s="507" customFormat="1" ht="36">
      <c r="A47" s="757" t="s">
        <v>493</v>
      </c>
      <c r="B47" s="758">
        <v>1022</v>
      </c>
      <c r="C47" s="757" t="s">
        <v>494</v>
      </c>
      <c r="D47" s="757" t="s">
        <v>551</v>
      </c>
      <c r="E47" s="759" t="s">
        <v>496</v>
      </c>
      <c r="F47" s="759" t="s">
        <v>547</v>
      </c>
      <c r="G47" s="760">
        <v>600</v>
      </c>
      <c r="H47" s="761">
        <v>2.5099999999999998</v>
      </c>
      <c r="I47" s="762">
        <f t="shared" si="1"/>
        <v>1505.9999999999998</v>
      </c>
      <c r="AP47" s="604"/>
      <c r="AQ47" s="604"/>
    </row>
    <row r="48" spans="1:46" s="507" customFormat="1">
      <c r="A48" s="757" t="s">
        <v>493</v>
      </c>
      <c r="B48" s="763">
        <v>16</v>
      </c>
      <c r="C48" s="757" t="s">
        <v>501</v>
      </c>
      <c r="D48" s="757" t="s">
        <v>552</v>
      </c>
      <c r="E48" s="759" t="s">
        <v>496</v>
      </c>
      <c r="F48" s="759" t="s">
        <v>503</v>
      </c>
      <c r="G48" s="760">
        <v>40</v>
      </c>
      <c r="H48" s="761">
        <v>20.41</v>
      </c>
      <c r="I48" s="762">
        <f t="shared" si="1"/>
        <v>816.4</v>
      </c>
      <c r="AP48" s="604"/>
      <c r="AQ48" s="604"/>
    </row>
    <row r="49" spans="1:43" s="507" customFormat="1">
      <c r="A49" s="757" t="s">
        <v>493</v>
      </c>
      <c r="B49" s="763">
        <v>17</v>
      </c>
      <c r="C49" s="757" t="s">
        <v>501</v>
      </c>
      <c r="D49" s="757" t="s">
        <v>553</v>
      </c>
      <c r="E49" s="759" t="s">
        <v>496</v>
      </c>
      <c r="F49" s="759" t="s">
        <v>503</v>
      </c>
      <c r="G49" s="760">
        <v>40</v>
      </c>
      <c r="H49" s="761">
        <v>4.49</v>
      </c>
      <c r="I49" s="762">
        <f t="shared" si="1"/>
        <v>179.60000000000002</v>
      </c>
      <c r="AP49" s="604"/>
      <c r="AQ49" s="604"/>
    </row>
    <row r="50" spans="1:43" s="507" customFormat="1">
      <c r="A50" s="757" t="s">
        <v>493</v>
      </c>
      <c r="B50" s="763" t="s">
        <v>554</v>
      </c>
      <c r="C50" s="757" t="s">
        <v>555</v>
      </c>
      <c r="D50" s="757" t="s">
        <v>556</v>
      </c>
      <c r="E50" s="759" t="s">
        <v>496</v>
      </c>
      <c r="F50" s="759" t="s">
        <v>547</v>
      </c>
      <c r="G50" s="760">
        <v>20</v>
      </c>
      <c r="H50" s="761">
        <v>8.42</v>
      </c>
      <c r="I50" s="762">
        <f t="shared" si="1"/>
        <v>168.4</v>
      </c>
      <c r="AP50" s="604"/>
      <c r="AQ50" s="604"/>
    </row>
    <row r="51" spans="1:43" s="507" customFormat="1" ht="24">
      <c r="A51" s="757" t="s">
        <v>493</v>
      </c>
      <c r="B51" s="763">
        <v>1014</v>
      </c>
      <c r="C51" s="757" t="s">
        <v>494</v>
      </c>
      <c r="D51" s="757" t="s">
        <v>557</v>
      </c>
      <c r="E51" s="759" t="s">
        <v>496</v>
      </c>
      <c r="F51" s="759" t="s">
        <v>547</v>
      </c>
      <c r="G51" s="760">
        <v>10000</v>
      </c>
      <c r="H51" s="761">
        <v>2.11</v>
      </c>
      <c r="I51" s="762">
        <f t="shared" si="1"/>
        <v>21100</v>
      </c>
      <c r="AP51" s="604"/>
      <c r="AQ51" s="604"/>
    </row>
    <row r="52" spans="1:43" s="507" customFormat="1" ht="24">
      <c r="A52" s="757" t="s">
        <v>493</v>
      </c>
      <c r="B52" s="763">
        <v>981</v>
      </c>
      <c r="C52" s="757" t="s">
        <v>494</v>
      </c>
      <c r="D52" s="757" t="s">
        <v>558</v>
      </c>
      <c r="E52" s="759" t="s">
        <v>496</v>
      </c>
      <c r="F52" s="759" t="s">
        <v>547</v>
      </c>
      <c r="G52" s="760">
        <v>10000</v>
      </c>
      <c r="H52" s="761">
        <v>3.5</v>
      </c>
      <c r="I52" s="762">
        <f t="shared" si="1"/>
        <v>35000</v>
      </c>
      <c r="AP52" s="604"/>
      <c r="AQ52" s="604"/>
    </row>
    <row r="53" spans="1:43" s="507" customFormat="1" ht="24">
      <c r="A53" s="757" t="s">
        <v>493</v>
      </c>
      <c r="B53" s="763">
        <v>982</v>
      </c>
      <c r="C53" s="757" t="s">
        <v>494</v>
      </c>
      <c r="D53" s="757" t="s">
        <v>559</v>
      </c>
      <c r="E53" s="759" t="s">
        <v>496</v>
      </c>
      <c r="F53" s="759" t="s">
        <v>547</v>
      </c>
      <c r="G53" s="760">
        <v>10000</v>
      </c>
      <c r="H53" s="761">
        <v>5.03</v>
      </c>
      <c r="I53" s="762">
        <f t="shared" si="1"/>
        <v>50300</v>
      </c>
      <c r="AP53" s="604"/>
      <c r="AQ53" s="604"/>
    </row>
    <row r="54" spans="1:43" s="507" customFormat="1">
      <c r="A54" s="757" t="s">
        <v>493</v>
      </c>
      <c r="B54" s="763" t="s">
        <v>560</v>
      </c>
      <c r="C54" s="757" t="s">
        <v>561</v>
      </c>
      <c r="D54" s="757" t="s">
        <v>562</v>
      </c>
      <c r="E54" s="759" t="s">
        <v>496</v>
      </c>
      <c r="F54" s="759" t="s">
        <v>547</v>
      </c>
      <c r="G54" s="760">
        <v>1000</v>
      </c>
      <c r="H54" s="761">
        <v>11.7</v>
      </c>
      <c r="I54" s="762">
        <f t="shared" si="1"/>
        <v>11700</v>
      </c>
      <c r="AP54" s="604"/>
      <c r="AQ54" s="604"/>
    </row>
    <row r="55" spans="1:43" s="507" customFormat="1">
      <c r="A55" s="757" t="s">
        <v>493</v>
      </c>
      <c r="B55" s="763" t="s">
        <v>563</v>
      </c>
      <c r="C55" s="757" t="s">
        <v>561</v>
      </c>
      <c r="D55" s="757" t="s">
        <v>564</v>
      </c>
      <c r="E55" s="759" t="s">
        <v>496</v>
      </c>
      <c r="F55" s="759" t="s">
        <v>547</v>
      </c>
      <c r="G55" s="760">
        <v>1000</v>
      </c>
      <c r="H55" s="761">
        <v>3.31</v>
      </c>
      <c r="I55" s="762">
        <f t="shared" si="1"/>
        <v>3310</v>
      </c>
      <c r="AP55" s="604"/>
      <c r="AQ55" s="604"/>
    </row>
    <row r="56" spans="1:43" s="507" customFormat="1">
      <c r="A56" s="757" t="s">
        <v>493</v>
      </c>
      <c r="B56" s="763">
        <v>21127</v>
      </c>
      <c r="C56" s="757" t="s">
        <v>494</v>
      </c>
      <c r="D56" s="757" t="s">
        <v>565</v>
      </c>
      <c r="E56" s="759" t="s">
        <v>496</v>
      </c>
      <c r="F56" s="759" t="s">
        <v>520</v>
      </c>
      <c r="G56" s="760">
        <v>200</v>
      </c>
      <c r="H56" s="761">
        <v>8.16</v>
      </c>
      <c r="I56" s="762">
        <f t="shared" si="1"/>
        <v>1632</v>
      </c>
      <c r="AP56" s="604"/>
      <c r="AQ56" s="604"/>
    </row>
    <row r="57" spans="1:43" s="507" customFormat="1">
      <c r="A57" s="757" t="s">
        <v>493</v>
      </c>
      <c r="B57" s="763">
        <v>404</v>
      </c>
      <c r="C57" s="757" t="s">
        <v>494</v>
      </c>
      <c r="D57" s="757" t="s">
        <v>566</v>
      </c>
      <c r="E57" s="759" t="s">
        <v>496</v>
      </c>
      <c r="F57" s="759" t="s">
        <v>547</v>
      </c>
      <c r="G57" s="760">
        <v>2500</v>
      </c>
      <c r="H57" s="761">
        <v>2.94</v>
      </c>
      <c r="I57" s="762">
        <f t="shared" si="1"/>
        <v>7350</v>
      </c>
      <c r="AP57" s="604"/>
      <c r="AQ57" s="604"/>
    </row>
    <row r="58" spans="1:43" s="507" customFormat="1" ht="24">
      <c r="A58" s="757" t="s">
        <v>493</v>
      </c>
      <c r="B58" s="763">
        <v>410</v>
      </c>
      <c r="C58" s="757" t="s">
        <v>494</v>
      </c>
      <c r="D58" s="757" t="s">
        <v>567</v>
      </c>
      <c r="E58" s="759" t="s">
        <v>496</v>
      </c>
      <c r="F58" s="759" t="s">
        <v>520</v>
      </c>
      <c r="G58" s="760">
        <v>5000</v>
      </c>
      <c r="H58" s="761">
        <v>0.16</v>
      </c>
      <c r="I58" s="762">
        <f t="shared" si="1"/>
        <v>800</v>
      </c>
      <c r="AP58" s="604"/>
      <c r="AQ58" s="604"/>
    </row>
    <row r="59" spans="1:43" s="507" customFormat="1">
      <c r="A59" s="757" t="s">
        <v>493</v>
      </c>
      <c r="B59" s="763" t="s">
        <v>568</v>
      </c>
      <c r="C59" s="757" t="s">
        <v>561</v>
      </c>
      <c r="D59" s="757" t="s">
        <v>569</v>
      </c>
      <c r="E59" s="759" t="s">
        <v>496</v>
      </c>
      <c r="F59" s="759" t="s">
        <v>547</v>
      </c>
      <c r="G59" s="760">
        <v>30</v>
      </c>
      <c r="H59" s="761">
        <v>33.340000000000003</v>
      </c>
      <c r="I59" s="762">
        <f t="shared" si="1"/>
        <v>1000.2</v>
      </c>
      <c r="AP59" s="604"/>
      <c r="AQ59" s="604"/>
    </row>
    <row r="60" spans="1:43" s="507" customFormat="1">
      <c r="A60" s="757" t="s">
        <v>493</v>
      </c>
      <c r="B60" s="758">
        <v>38102</v>
      </c>
      <c r="C60" s="757" t="s">
        <v>494</v>
      </c>
      <c r="D60" s="757" t="s">
        <v>570</v>
      </c>
      <c r="E60" s="759" t="s">
        <v>496</v>
      </c>
      <c r="F60" s="759" t="s">
        <v>520</v>
      </c>
      <c r="G60" s="760">
        <v>100</v>
      </c>
      <c r="H60" s="761">
        <v>9.5</v>
      </c>
      <c r="I60" s="762">
        <f t="shared" si="1"/>
        <v>950</v>
      </c>
      <c r="AP60" s="604"/>
      <c r="AQ60" s="604"/>
    </row>
    <row r="61" spans="1:43" s="507" customFormat="1">
      <c r="A61" s="757" t="s">
        <v>493</v>
      </c>
      <c r="B61" s="758">
        <v>38101</v>
      </c>
      <c r="C61" s="757" t="s">
        <v>494</v>
      </c>
      <c r="D61" s="757" t="s">
        <v>571</v>
      </c>
      <c r="E61" s="759" t="s">
        <v>496</v>
      </c>
      <c r="F61" s="759" t="s">
        <v>520</v>
      </c>
      <c r="G61" s="760">
        <v>100</v>
      </c>
      <c r="H61" s="761">
        <v>7.43</v>
      </c>
      <c r="I61" s="762">
        <f t="shared" si="1"/>
        <v>743</v>
      </c>
      <c r="AP61" s="604"/>
      <c r="AQ61" s="604"/>
    </row>
    <row r="62" spans="1:43" s="507" customFormat="1">
      <c r="A62" s="757" t="s">
        <v>493</v>
      </c>
      <c r="B62" s="758">
        <v>38114</v>
      </c>
      <c r="C62" s="757" t="s">
        <v>494</v>
      </c>
      <c r="D62" s="757" t="s">
        <v>572</v>
      </c>
      <c r="E62" s="759" t="s">
        <v>496</v>
      </c>
      <c r="F62" s="759" t="s">
        <v>520</v>
      </c>
      <c r="G62" s="760">
        <v>100</v>
      </c>
      <c r="H62" s="761">
        <v>14.82</v>
      </c>
      <c r="I62" s="762">
        <f t="shared" si="1"/>
        <v>1482</v>
      </c>
      <c r="AP62" s="604"/>
      <c r="AQ62" s="604"/>
    </row>
    <row r="63" spans="1:43" s="507" customFormat="1">
      <c r="A63" s="757" t="s">
        <v>493</v>
      </c>
      <c r="B63" s="758">
        <v>38116</v>
      </c>
      <c r="C63" s="757" t="s">
        <v>494</v>
      </c>
      <c r="D63" s="757" t="s">
        <v>573</v>
      </c>
      <c r="E63" s="759" t="s">
        <v>496</v>
      </c>
      <c r="F63" s="759" t="s">
        <v>574</v>
      </c>
      <c r="G63" s="760">
        <v>100</v>
      </c>
      <c r="H63" s="761">
        <v>4.79</v>
      </c>
      <c r="I63" s="762">
        <f t="shared" si="1"/>
        <v>479</v>
      </c>
      <c r="AP63" s="604"/>
      <c r="AQ63" s="604"/>
    </row>
    <row r="64" spans="1:43" s="507" customFormat="1" ht="24">
      <c r="A64" s="757" t="s">
        <v>493</v>
      </c>
      <c r="B64" s="758">
        <v>1614</v>
      </c>
      <c r="C64" s="757" t="s">
        <v>494</v>
      </c>
      <c r="D64" s="757" t="s">
        <v>575</v>
      </c>
      <c r="E64" s="759" t="s">
        <v>496</v>
      </c>
      <c r="F64" s="759" t="s">
        <v>520</v>
      </c>
      <c r="G64" s="760">
        <v>40</v>
      </c>
      <c r="H64" s="761">
        <v>228.58</v>
      </c>
      <c r="I64" s="762">
        <f t="shared" si="1"/>
        <v>9143.2000000000007</v>
      </c>
      <c r="AP64" s="604"/>
      <c r="AQ64" s="604"/>
    </row>
    <row r="65" spans="1:54" s="507" customFormat="1" ht="24">
      <c r="A65" s="757" t="s">
        <v>493</v>
      </c>
      <c r="B65" s="758">
        <v>1625</v>
      </c>
      <c r="C65" s="757" t="s">
        <v>494</v>
      </c>
      <c r="D65" s="757" t="s">
        <v>576</v>
      </c>
      <c r="E65" s="759" t="s">
        <v>496</v>
      </c>
      <c r="F65" s="759" t="s">
        <v>520</v>
      </c>
      <c r="G65" s="760">
        <v>40</v>
      </c>
      <c r="H65" s="761">
        <v>131.65</v>
      </c>
      <c r="I65" s="762">
        <f t="shared" si="1"/>
        <v>5266</v>
      </c>
      <c r="AP65" s="604"/>
      <c r="AQ65" s="604"/>
    </row>
    <row r="66" spans="1:54" ht="39" customHeight="1" thickBot="1">
      <c r="A66" s="765">
        <v>3</v>
      </c>
      <c r="B66" s="868" t="s">
        <v>577</v>
      </c>
      <c r="C66" s="868"/>
      <c r="D66" s="868"/>
      <c r="E66" s="868"/>
      <c r="F66" s="868"/>
      <c r="G66" s="868"/>
      <c r="H66" s="868"/>
      <c r="I66" s="868"/>
    </row>
    <row r="67" spans="1:54" ht="48" thickBot="1">
      <c r="A67" s="754"/>
      <c r="B67" s="755" t="s">
        <v>486</v>
      </c>
      <c r="C67" s="755" t="s">
        <v>487</v>
      </c>
      <c r="D67" s="755" t="s">
        <v>488</v>
      </c>
      <c r="E67" s="755" t="s">
        <v>489</v>
      </c>
      <c r="F67" s="755" t="s">
        <v>490</v>
      </c>
      <c r="G67" s="755" t="s">
        <v>491</v>
      </c>
      <c r="H67" s="756" t="s">
        <v>316</v>
      </c>
      <c r="I67" s="755" t="s">
        <v>492</v>
      </c>
      <c r="J67" s="377"/>
    </row>
    <row r="68" spans="1:54" s="507" customFormat="1">
      <c r="A68" s="757" t="s">
        <v>493</v>
      </c>
      <c r="B68" s="758">
        <v>1381</v>
      </c>
      <c r="C68" s="757" t="s">
        <v>494</v>
      </c>
      <c r="D68" s="757" t="s">
        <v>578</v>
      </c>
      <c r="E68" s="759" t="s">
        <v>496</v>
      </c>
      <c r="F68" s="759" t="s">
        <v>579</v>
      </c>
      <c r="G68" s="760">
        <v>100</v>
      </c>
      <c r="H68" s="761">
        <v>0.85</v>
      </c>
      <c r="I68" s="762">
        <f t="shared" ref="I68:I98" si="2">H68*G68</f>
        <v>85</v>
      </c>
      <c r="AQ68" s="604"/>
      <c r="AR68" s="604"/>
    </row>
    <row r="69" spans="1:54" s="507" customFormat="1">
      <c r="A69" s="757" t="s">
        <v>493</v>
      </c>
      <c r="B69" s="758">
        <v>34353</v>
      </c>
      <c r="C69" s="757" t="s">
        <v>494</v>
      </c>
      <c r="D69" s="757" t="s">
        <v>580</v>
      </c>
      <c r="E69" s="759" t="s">
        <v>496</v>
      </c>
      <c r="F69" s="759" t="s">
        <v>579</v>
      </c>
      <c r="G69" s="760">
        <v>100</v>
      </c>
      <c r="H69" s="761">
        <v>1.58</v>
      </c>
      <c r="I69" s="762">
        <f t="shared" si="2"/>
        <v>158</v>
      </c>
      <c r="AQ69" s="604"/>
      <c r="AR69" s="604"/>
    </row>
    <row r="70" spans="1:54" s="507" customFormat="1">
      <c r="A70" s="757" t="s">
        <v>493</v>
      </c>
      <c r="B70" s="758">
        <v>37595</v>
      </c>
      <c r="C70" s="757" t="s">
        <v>494</v>
      </c>
      <c r="D70" s="757" t="s">
        <v>581</v>
      </c>
      <c r="E70" s="759" t="s">
        <v>496</v>
      </c>
      <c r="F70" s="759" t="s">
        <v>579</v>
      </c>
      <c r="G70" s="760">
        <v>100</v>
      </c>
      <c r="H70" s="761">
        <v>2.61</v>
      </c>
      <c r="I70" s="762">
        <f t="shared" si="2"/>
        <v>261</v>
      </c>
      <c r="AQ70" s="604"/>
      <c r="AR70" s="604"/>
    </row>
    <row r="71" spans="1:54" s="507" customFormat="1">
      <c r="A71" s="757" t="s">
        <v>493</v>
      </c>
      <c r="B71" s="758">
        <v>37596</v>
      </c>
      <c r="C71" s="757" t="s">
        <v>494</v>
      </c>
      <c r="D71" s="757" t="s">
        <v>582</v>
      </c>
      <c r="E71" s="759" t="s">
        <v>496</v>
      </c>
      <c r="F71" s="759" t="s">
        <v>579</v>
      </c>
      <c r="G71" s="760">
        <v>100</v>
      </c>
      <c r="H71" s="761">
        <v>2.99</v>
      </c>
      <c r="I71" s="762">
        <f t="shared" si="2"/>
        <v>299</v>
      </c>
      <c r="AQ71" s="604"/>
      <c r="AR71" s="604"/>
    </row>
    <row r="72" spans="1:54" s="507" customFormat="1">
      <c r="A72" s="757" t="s">
        <v>493</v>
      </c>
      <c r="B72" s="758">
        <v>36886</v>
      </c>
      <c r="C72" s="757" t="s">
        <v>494</v>
      </c>
      <c r="D72" s="757" t="s">
        <v>583</v>
      </c>
      <c r="E72" s="759" t="s">
        <v>496</v>
      </c>
      <c r="F72" s="759" t="s">
        <v>579</v>
      </c>
      <c r="G72" s="760">
        <v>100</v>
      </c>
      <c r="H72" s="761">
        <v>0.88</v>
      </c>
      <c r="I72" s="762">
        <f t="shared" si="2"/>
        <v>88</v>
      </c>
      <c r="AQ72" s="604"/>
      <c r="AR72" s="604"/>
    </row>
    <row r="73" spans="1:54" s="507" customFormat="1">
      <c r="A73" s="757" t="s">
        <v>493</v>
      </c>
      <c r="B73" s="758">
        <v>7194</v>
      </c>
      <c r="C73" s="757" t="s">
        <v>494</v>
      </c>
      <c r="D73" s="757" t="s">
        <v>584</v>
      </c>
      <c r="E73" s="759" t="s">
        <v>496</v>
      </c>
      <c r="F73" s="759" t="s">
        <v>585</v>
      </c>
      <c r="G73" s="760">
        <v>250</v>
      </c>
      <c r="H73" s="761">
        <v>24.48</v>
      </c>
      <c r="I73" s="762">
        <f t="shared" si="2"/>
        <v>6120</v>
      </c>
      <c r="J73" s="508"/>
      <c r="K73" s="607"/>
      <c r="AT73" s="604"/>
      <c r="AU73" s="604"/>
    </row>
    <row r="74" spans="1:54" s="507" customFormat="1">
      <c r="A74" s="757" t="s">
        <v>493</v>
      </c>
      <c r="B74" s="758">
        <v>7197</v>
      </c>
      <c r="C74" s="757" t="s">
        <v>494</v>
      </c>
      <c r="D74" s="757" t="s">
        <v>586</v>
      </c>
      <c r="E74" s="759" t="s">
        <v>496</v>
      </c>
      <c r="F74" s="759" t="s">
        <v>587</v>
      </c>
      <c r="G74" s="760">
        <v>50</v>
      </c>
      <c r="H74" s="761">
        <v>103.31</v>
      </c>
      <c r="I74" s="762">
        <f t="shared" si="2"/>
        <v>5165.5</v>
      </c>
      <c r="J74" s="508"/>
      <c r="K74" s="607"/>
      <c r="AT74" s="604"/>
      <c r="AU74" s="604"/>
    </row>
    <row r="75" spans="1:54" s="507" customFormat="1" ht="24">
      <c r="A75" s="757" t="s">
        <v>493</v>
      </c>
      <c r="B75" s="758">
        <v>39512</v>
      </c>
      <c r="C75" s="757" t="s">
        <v>494</v>
      </c>
      <c r="D75" s="757" t="s">
        <v>588</v>
      </c>
      <c r="E75" s="759" t="s">
        <v>496</v>
      </c>
      <c r="F75" s="759" t="s">
        <v>585</v>
      </c>
      <c r="G75" s="760">
        <v>100</v>
      </c>
      <c r="H75" s="761">
        <v>119.97</v>
      </c>
      <c r="I75" s="762">
        <f t="shared" si="2"/>
        <v>11997</v>
      </c>
      <c r="AR75" s="604"/>
      <c r="AS75" s="604"/>
    </row>
    <row r="76" spans="1:54" s="507" customFormat="1">
      <c r="A76" s="757" t="s">
        <v>493</v>
      </c>
      <c r="B76" s="758">
        <v>43651</v>
      </c>
      <c r="C76" s="757" t="s">
        <v>527</v>
      </c>
      <c r="D76" s="757" t="s">
        <v>589</v>
      </c>
      <c r="E76" s="759" t="s">
        <v>496</v>
      </c>
      <c r="F76" s="759" t="s">
        <v>579</v>
      </c>
      <c r="G76" s="760">
        <v>10</v>
      </c>
      <c r="H76" s="761">
        <v>6.56</v>
      </c>
      <c r="I76" s="762">
        <f t="shared" si="2"/>
        <v>65.599999999999994</v>
      </c>
      <c r="AU76" s="604"/>
      <c r="AV76" s="604"/>
    </row>
    <row r="77" spans="1:54" s="507" customFormat="1">
      <c r="A77" s="757" t="s">
        <v>493</v>
      </c>
      <c r="B77" s="758">
        <v>34357</v>
      </c>
      <c r="C77" s="757" t="s">
        <v>527</v>
      </c>
      <c r="D77" s="757" t="s">
        <v>590</v>
      </c>
      <c r="E77" s="759" t="s">
        <v>496</v>
      </c>
      <c r="F77" s="759" t="s">
        <v>579</v>
      </c>
      <c r="G77" s="760">
        <v>3</v>
      </c>
      <c r="H77" s="761">
        <v>4.99</v>
      </c>
      <c r="I77" s="762">
        <f t="shared" si="2"/>
        <v>14.97</v>
      </c>
      <c r="J77" s="508"/>
      <c r="L77" s="508"/>
      <c r="M77" s="508"/>
      <c r="N77" s="608"/>
      <c r="O77" s="508"/>
      <c r="P77" s="508"/>
      <c r="AX77" s="604"/>
      <c r="AY77" s="604"/>
    </row>
    <row r="78" spans="1:54" s="507" customFormat="1">
      <c r="A78" s="757" t="s">
        <v>493</v>
      </c>
      <c r="B78" s="758">
        <v>11499</v>
      </c>
      <c r="C78" s="757" t="s">
        <v>527</v>
      </c>
      <c r="D78" s="757" t="s">
        <v>591</v>
      </c>
      <c r="E78" s="759" t="s">
        <v>496</v>
      </c>
      <c r="F78" s="759" t="s">
        <v>587</v>
      </c>
      <c r="G78" s="760">
        <v>10</v>
      </c>
      <c r="H78" s="761">
        <v>968.84</v>
      </c>
      <c r="I78" s="762">
        <f t="shared" si="2"/>
        <v>9688.4</v>
      </c>
      <c r="J78" s="508"/>
      <c r="L78" s="508"/>
      <c r="M78" s="508"/>
      <c r="N78" s="608"/>
      <c r="O78" s="508"/>
      <c r="P78" s="508"/>
      <c r="AX78" s="604"/>
      <c r="AY78" s="604"/>
    </row>
    <row r="79" spans="1:54" s="507" customFormat="1">
      <c r="A79" s="757" t="s">
        <v>493</v>
      </c>
      <c r="B79" s="758">
        <v>11560</v>
      </c>
      <c r="C79" s="757" t="s">
        <v>494</v>
      </c>
      <c r="D79" s="757" t="s">
        <v>592</v>
      </c>
      <c r="E79" s="759" t="s">
        <v>496</v>
      </c>
      <c r="F79" s="759" t="s">
        <v>587</v>
      </c>
      <c r="G79" s="760">
        <v>40</v>
      </c>
      <c r="H79" s="761">
        <v>160.88</v>
      </c>
      <c r="I79" s="762">
        <f t="shared" si="2"/>
        <v>6435.2</v>
      </c>
      <c r="J79" s="508"/>
      <c r="K79" s="608"/>
      <c r="L79" s="508"/>
      <c r="M79" s="508"/>
      <c r="O79" s="508"/>
      <c r="P79" s="508"/>
      <c r="Q79" s="608"/>
      <c r="R79" s="508"/>
      <c r="S79" s="508"/>
      <c r="BA79" s="604"/>
      <c r="BB79" s="604"/>
    </row>
    <row r="80" spans="1:54" s="507" customFormat="1" ht="24">
      <c r="A80" s="757" t="s">
        <v>493</v>
      </c>
      <c r="B80" s="758">
        <v>38075</v>
      </c>
      <c r="C80" s="757" t="s">
        <v>494</v>
      </c>
      <c r="D80" s="757" t="s">
        <v>593</v>
      </c>
      <c r="E80" s="759" t="s">
        <v>496</v>
      </c>
      <c r="F80" s="759" t="s">
        <v>520</v>
      </c>
      <c r="G80" s="760">
        <v>100</v>
      </c>
      <c r="H80" s="761">
        <v>15.12</v>
      </c>
      <c r="I80" s="762">
        <f t="shared" si="2"/>
        <v>1512</v>
      </c>
      <c r="AP80" s="604"/>
      <c r="AQ80" s="604"/>
    </row>
    <row r="81" spans="1:43" s="507" customFormat="1">
      <c r="A81" s="757" t="s">
        <v>493</v>
      </c>
      <c r="B81" s="758">
        <v>21127</v>
      </c>
      <c r="C81" s="757" t="s">
        <v>494</v>
      </c>
      <c r="D81" s="757" t="s">
        <v>594</v>
      </c>
      <c r="E81" s="759" t="s">
        <v>496</v>
      </c>
      <c r="F81" s="759" t="s">
        <v>520</v>
      </c>
      <c r="G81" s="760">
        <v>40</v>
      </c>
      <c r="H81" s="761">
        <v>8.16</v>
      </c>
      <c r="I81" s="762">
        <f t="shared" si="2"/>
        <v>326.39999999999998</v>
      </c>
      <c r="AP81" s="604"/>
      <c r="AQ81" s="604"/>
    </row>
    <row r="82" spans="1:43" s="507" customFormat="1" ht="24">
      <c r="A82" s="757" t="s">
        <v>493</v>
      </c>
      <c r="B82" s="758">
        <v>38076</v>
      </c>
      <c r="C82" s="757" t="s">
        <v>494</v>
      </c>
      <c r="D82" s="757" t="s">
        <v>595</v>
      </c>
      <c r="E82" s="759" t="s">
        <v>496</v>
      </c>
      <c r="F82" s="759" t="s">
        <v>520</v>
      </c>
      <c r="G82" s="760">
        <v>100</v>
      </c>
      <c r="H82" s="761">
        <v>16.95</v>
      </c>
      <c r="I82" s="762">
        <f t="shared" si="2"/>
        <v>1695</v>
      </c>
      <c r="AP82" s="604"/>
      <c r="AQ82" s="604"/>
    </row>
    <row r="83" spans="1:43" s="507" customFormat="1">
      <c r="A83" s="757" t="s">
        <v>493</v>
      </c>
      <c r="B83" s="758">
        <v>4791</v>
      </c>
      <c r="C83" s="757" t="s">
        <v>494</v>
      </c>
      <c r="D83" s="757" t="s">
        <v>596</v>
      </c>
      <c r="E83" s="759" t="s">
        <v>496</v>
      </c>
      <c r="F83" s="759" t="s">
        <v>579</v>
      </c>
      <c r="G83" s="760">
        <v>10</v>
      </c>
      <c r="H83" s="761">
        <v>49.59</v>
      </c>
      <c r="I83" s="762">
        <f t="shared" si="2"/>
        <v>495.90000000000003</v>
      </c>
      <c r="AP83" s="604"/>
      <c r="AQ83" s="604"/>
    </row>
    <row r="84" spans="1:43" s="507" customFormat="1">
      <c r="A84" s="757" t="s">
        <v>493</v>
      </c>
      <c r="B84" s="758">
        <v>7356</v>
      </c>
      <c r="C84" s="757" t="s">
        <v>494</v>
      </c>
      <c r="D84" s="757" t="s">
        <v>597</v>
      </c>
      <c r="E84" s="759" t="s">
        <v>496</v>
      </c>
      <c r="F84" s="759" t="s">
        <v>598</v>
      </c>
      <c r="G84" s="760">
        <v>180</v>
      </c>
      <c r="H84" s="761">
        <v>30.79</v>
      </c>
      <c r="I84" s="762">
        <f t="shared" si="2"/>
        <v>5542.2</v>
      </c>
      <c r="AP84" s="604"/>
      <c r="AQ84" s="604"/>
    </row>
    <row r="85" spans="1:43" s="507" customFormat="1">
      <c r="A85" s="757" t="s">
        <v>493</v>
      </c>
      <c r="B85" s="763" t="s">
        <v>599</v>
      </c>
      <c r="C85" s="757" t="s">
        <v>600</v>
      </c>
      <c r="D85" s="757" t="s">
        <v>601</v>
      </c>
      <c r="E85" s="759" t="s">
        <v>496</v>
      </c>
      <c r="F85" s="759" t="s">
        <v>602</v>
      </c>
      <c r="G85" s="760">
        <v>5</v>
      </c>
      <c r="H85" s="761">
        <v>156.66</v>
      </c>
      <c r="I85" s="762">
        <f t="shared" si="2"/>
        <v>783.3</v>
      </c>
      <c r="AP85" s="604"/>
      <c r="AQ85" s="604"/>
    </row>
    <row r="86" spans="1:43" s="507" customFormat="1">
      <c r="A86" s="757" t="s">
        <v>493</v>
      </c>
      <c r="B86" s="758">
        <v>38393</v>
      </c>
      <c r="C86" s="757" t="s">
        <v>527</v>
      </c>
      <c r="D86" s="757" t="s">
        <v>603</v>
      </c>
      <c r="E86" s="759" t="s">
        <v>496</v>
      </c>
      <c r="F86" s="759" t="s">
        <v>520</v>
      </c>
      <c r="G86" s="760">
        <v>10</v>
      </c>
      <c r="H86" s="761">
        <v>19</v>
      </c>
      <c r="I86" s="762">
        <f t="shared" si="2"/>
        <v>190</v>
      </c>
      <c r="AP86" s="604"/>
      <c r="AQ86" s="604"/>
    </row>
    <row r="87" spans="1:43" s="507" customFormat="1">
      <c r="A87" s="757" t="s">
        <v>493</v>
      </c>
      <c r="B87" s="758">
        <v>37529</v>
      </c>
      <c r="C87" s="757" t="s">
        <v>498</v>
      </c>
      <c r="D87" s="757" t="s">
        <v>604</v>
      </c>
      <c r="E87" s="759" t="s">
        <v>496</v>
      </c>
      <c r="F87" s="759" t="s">
        <v>605</v>
      </c>
      <c r="G87" s="760">
        <v>10</v>
      </c>
      <c r="H87" s="761">
        <v>15.75</v>
      </c>
      <c r="I87" s="762">
        <f t="shared" si="2"/>
        <v>157.5</v>
      </c>
      <c r="AP87" s="604"/>
      <c r="AQ87" s="604"/>
    </row>
    <row r="88" spans="1:43" s="507" customFormat="1">
      <c r="A88" s="757" t="s">
        <v>493</v>
      </c>
      <c r="B88" s="758">
        <v>4823</v>
      </c>
      <c r="C88" s="757" t="s">
        <v>527</v>
      </c>
      <c r="D88" s="757" t="s">
        <v>606</v>
      </c>
      <c r="E88" s="759" t="s">
        <v>496</v>
      </c>
      <c r="F88" s="759" t="s">
        <v>579</v>
      </c>
      <c r="G88" s="760">
        <v>7</v>
      </c>
      <c r="H88" s="761">
        <v>38.31</v>
      </c>
      <c r="I88" s="762">
        <f t="shared" si="2"/>
        <v>268.17</v>
      </c>
      <c r="AP88" s="604"/>
      <c r="AQ88" s="604"/>
    </row>
    <row r="89" spans="1:43" s="507" customFormat="1">
      <c r="A89" s="757" t="s">
        <v>493</v>
      </c>
      <c r="B89" s="758">
        <v>39961</v>
      </c>
      <c r="C89" s="757" t="s">
        <v>527</v>
      </c>
      <c r="D89" s="757" t="s">
        <v>607</v>
      </c>
      <c r="E89" s="759" t="s">
        <v>496</v>
      </c>
      <c r="F89" s="759" t="s">
        <v>608</v>
      </c>
      <c r="G89" s="760">
        <v>20</v>
      </c>
      <c r="H89" s="761">
        <v>22.88</v>
      </c>
      <c r="I89" s="762">
        <f t="shared" si="2"/>
        <v>457.59999999999997</v>
      </c>
      <c r="AP89" s="604"/>
      <c r="AQ89" s="604"/>
    </row>
    <row r="90" spans="1:43" s="507" customFormat="1">
      <c r="A90" s="757" t="s">
        <v>493</v>
      </c>
      <c r="B90" s="758">
        <v>5318</v>
      </c>
      <c r="C90" s="757" t="s">
        <v>527</v>
      </c>
      <c r="D90" s="757" t="s">
        <v>609</v>
      </c>
      <c r="E90" s="759" t="s">
        <v>496</v>
      </c>
      <c r="F90" s="759" t="s">
        <v>598</v>
      </c>
      <c r="G90" s="760">
        <v>20</v>
      </c>
      <c r="H90" s="761">
        <v>19.78</v>
      </c>
      <c r="I90" s="762">
        <f t="shared" si="2"/>
        <v>395.6</v>
      </c>
      <c r="AP90" s="604"/>
      <c r="AQ90" s="604"/>
    </row>
    <row r="91" spans="1:43" s="507" customFormat="1">
      <c r="A91" s="757" t="s">
        <v>493</v>
      </c>
      <c r="B91" s="758">
        <v>38123</v>
      </c>
      <c r="C91" s="757" t="s">
        <v>494</v>
      </c>
      <c r="D91" s="757" t="s">
        <v>610</v>
      </c>
      <c r="E91" s="759" t="s">
        <v>496</v>
      </c>
      <c r="F91" s="759" t="s">
        <v>579</v>
      </c>
      <c r="G91" s="760">
        <v>20</v>
      </c>
      <c r="H91" s="761">
        <v>72.760000000000005</v>
      </c>
      <c r="I91" s="762">
        <f t="shared" si="2"/>
        <v>1455.2</v>
      </c>
      <c r="AP91" s="604"/>
      <c r="AQ91" s="604"/>
    </row>
    <row r="92" spans="1:43" s="507" customFormat="1" ht="24">
      <c r="A92" s="757" t="s">
        <v>493</v>
      </c>
      <c r="B92" s="758" t="s">
        <v>611</v>
      </c>
      <c r="C92" s="757" t="s">
        <v>515</v>
      </c>
      <c r="D92" s="757" t="s">
        <v>612</v>
      </c>
      <c r="E92" s="759" t="s">
        <v>496</v>
      </c>
      <c r="F92" s="759" t="s">
        <v>598</v>
      </c>
      <c r="G92" s="760">
        <v>20</v>
      </c>
      <c r="H92" s="761">
        <v>23.13</v>
      </c>
      <c r="I92" s="762">
        <f t="shared" si="2"/>
        <v>462.59999999999997</v>
      </c>
      <c r="AP92" s="604"/>
      <c r="AQ92" s="604"/>
    </row>
    <row r="93" spans="1:43" s="507" customFormat="1">
      <c r="A93" s="757" t="s">
        <v>493</v>
      </c>
      <c r="B93" s="763" t="s">
        <v>613</v>
      </c>
      <c r="C93" s="757" t="s">
        <v>614</v>
      </c>
      <c r="D93" s="757" t="s">
        <v>615</v>
      </c>
      <c r="E93" s="759" t="s">
        <v>496</v>
      </c>
      <c r="F93" s="759" t="s">
        <v>616</v>
      </c>
      <c r="G93" s="760">
        <v>10</v>
      </c>
      <c r="H93" s="761">
        <v>43.42</v>
      </c>
      <c r="I93" s="762">
        <f t="shared" si="2"/>
        <v>434.20000000000005</v>
      </c>
      <c r="AP93" s="604"/>
      <c r="AQ93" s="604"/>
    </row>
    <row r="94" spans="1:43" s="507" customFormat="1">
      <c r="A94" s="757" t="s">
        <v>493</v>
      </c>
      <c r="B94" s="758">
        <v>4791</v>
      </c>
      <c r="C94" s="757" t="s">
        <v>494</v>
      </c>
      <c r="D94" s="757" t="s">
        <v>596</v>
      </c>
      <c r="E94" s="759" t="s">
        <v>496</v>
      </c>
      <c r="F94" s="759" t="s">
        <v>579</v>
      </c>
      <c r="G94" s="760">
        <v>20</v>
      </c>
      <c r="H94" s="761">
        <v>49.59</v>
      </c>
      <c r="I94" s="762">
        <f t="shared" si="2"/>
        <v>991.80000000000007</v>
      </c>
      <c r="AP94" s="604"/>
      <c r="AQ94" s="604"/>
    </row>
    <row r="95" spans="1:43" s="507" customFormat="1">
      <c r="A95" s="757" t="s">
        <v>493</v>
      </c>
      <c r="B95" s="758">
        <v>32520</v>
      </c>
      <c r="C95" s="757" t="s">
        <v>533</v>
      </c>
      <c r="D95" s="757" t="s">
        <v>617</v>
      </c>
      <c r="E95" s="759" t="s">
        <v>496</v>
      </c>
      <c r="F95" s="759" t="s">
        <v>500</v>
      </c>
      <c r="G95" s="760">
        <v>100</v>
      </c>
      <c r="H95" s="761">
        <v>102.59</v>
      </c>
      <c r="I95" s="762">
        <f t="shared" si="2"/>
        <v>10259</v>
      </c>
      <c r="AP95" s="604"/>
      <c r="AQ95" s="604"/>
    </row>
    <row r="96" spans="1:43" s="507" customFormat="1" ht="24">
      <c r="A96" s="757" t="s">
        <v>493</v>
      </c>
      <c r="B96" s="758">
        <v>11960</v>
      </c>
      <c r="C96" s="757" t="s">
        <v>494</v>
      </c>
      <c r="D96" s="757" t="s">
        <v>618</v>
      </c>
      <c r="E96" s="759" t="s">
        <v>496</v>
      </c>
      <c r="F96" s="759" t="s">
        <v>520</v>
      </c>
      <c r="G96" s="760">
        <v>1000</v>
      </c>
      <c r="H96" s="761">
        <v>0.15</v>
      </c>
      <c r="I96" s="762">
        <f t="shared" si="2"/>
        <v>150</v>
      </c>
      <c r="AP96" s="604"/>
      <c r="AQ96" s="604"/>
    </row>
    <row r="97" spans="1:43" s="507" customFormat="1" ht="24">
      <c r="A97" s="757" t="s">
        <v>493</v>
      </c>
      <c r="B97" s="758">
        <v>394</v>
      </c>
      <c r="C97" s="757" t="s">
        <v>494</v>
      </c>
      <c r="D97" s="757" t="s">
        <v>619</v>
      </c>
      <c r="E97" s="759" t="s">
        <v>496</v>
      </c>
      <c r="F97" s="759" t="s">
        <v>520</v>
      </c>
      <c r="G97" s="760">
        <v>1000</v>
      </c>
      <c r="H97" s="761">
        <v>3.48</v>
      </c>
      <c r="I97" s="762">
        <f t="shared" si="2"/>
        <v>3480</v>
      </c>
      <c r="AP97" s="604"/>
      <c r="AQ97" s="604"/>
    </row>
    <row r="98" spans="1:43" s="507" customFormat="1" ht="24">
      <c r="A98" s="757" t="s">
        <v>493</v>
      </c>
      <c r="B98" s="758">
        <v>397</v>
      </c>
      <c r="C98" s="757" t="s">
        <v>494</v>
      </c>
      <c r="D98" s="757" t="s">
        <v>620</v>
      </c>
      <c r="E98" s="759" t="s">
        <v>496</v>
      </c>
      <c r="F98" s="759" t="s">
        <v>520</v>
      </c>
      <c r="G98" s="760">
        <v>1000</v>
      </c>
      <c r="H98" s="761">
        <v>4.9800000000000004</v>
      </c>
      <c r="I98" s="762">
        <f t="shared" si="2"/>
        <v>4980</v>
      </c>
      <c r="AP98" s="604"/>
      <c r="AQ98" s="604"/>
    </row>
    <row r="99" spans="1:43" ht="39" customHeight="1" thickBot="1">
      <c r="A99" s="765">
        <v>4</v>
      </c>
      <c r="B99" s="868" t="s">
        <v>621</v>
      </c>
      <c r="C99" s="868"/>
      <c r="D99" s="868"/>
      <c r="E99" s="868"/>
      <c r="F99" s="868"/>
      <c r="G99" s="868"/>
      <c r="H99" s="868"/>
      <c r="I99" s="868"/>
    </row>
    <row r="100" spans="1:43" ht="48" thickBot="1">
      <c r="A100" s="754"/>
      <c r="B100" s="755" t="s">
        <v>486</v>
      </c>
      <c r="C100" s="755" t="s">
        <v>487</v>
      </c>
      <c r="D100" s="755" t="s">
        <v>488</v>
      </c>
      <c r="E100" s="755" t="s">
        <v>489</v>
      </c>
      <c r="F100" s="755" t="s">
        <v>490</v>
      </c>
      <c r="G100" s="755" t="s">
        <v>491</v>
      </c>
      <c r="H100" s="756" t="s">
        <v>316</v>
      </c>
      <c r="I100" s="755" t="s">
        <v>492</v>
      </c>
    </row>
    <row r="101" spans="1:43" s="507" customFormat="1">
      <c r="A101" s="757" t="s">
        <v>493</v>
      </c>
      <c r="B101" s="758">
        <v>13</v>
      </c>
      <c r="C101" s="757" t="s">
        <v>501</v>
      </c>
      <c r="D101" s="757" t="s">
        <v>622</v>
      </c>
      <c r="E101" s="759" t="s">
        <v>496</v>
      </c>
      <c r="F101" s="759" t="s">
        <v>520</v>
      </c>
      <c r="G101" s="760">
        <v>4</v>
      </c>
      <c r="H101" s="761">
        <v>1300</v>
      </c>
      <c r="I101" s="762">
        <f>H101*G101</f>
        <v>5200</v>
      </c>
      <c r="AP101" s="604"/>
      <c r="AQ101" s="604"/>
    </row>
    <row r="102" spans="1:43" s="507" customFormat="1">
      <c r="A102" s="757" t="s">
        <v>493</v>
      </c>
      <c r="B102" s="758">
        <v>15</v>
      </c>
      <c r="C102" s="757" t="s">
        <v>501</v>
      </c>
      <c r="D102" s="757" t="s">
        <v>623</v>
      </c>
      <c r="E102" s="759" t="s">
        <v>496</v>
      </c>
      <c r="F102" s="759" t="s">
        <v>503</v>
      </c>
      <c r="G102" s="760">
        <v>2</v>
      </c>
      <c r="H102" s="761">
        <v>843.56</v>
      </c>
      <c r="I102" s="762">
        <f>H102*G102</f>
        <v>1687.12</v>
      </c>
      <c r="AP102" s="604"/>
      <c r="AQ102" s="604"/>
    </row>
    <row r="103" spans="1:43" ht="39" customHeight="1" thickBot="1">
      <c r="A103" s="765">
        <v>5</v>
      </c>
      <c r="B103" s="868" t="s">
        <v>624</v>
      </c>
      <c r="C103" s="868"/>
      <c r="D103" s="868"/>
      <c r="E103" s="868"/>
      <c r="F103" s="868"/>
      <c r="G103" s="868"/>
      <c r="H103" s="868"/>
      <c r="I103" s="868"/>
    </row>
    <row r="104" spans="1:43" ht="48" thickBot="1">
      <c r="A104" s="754"/>
      <c r="B104" s="755" t="s">
        <v>486</v>
      </c>
      <c r="C104" s="755" t="s">
        <v>487</v>
      </c>
      <c r="D104" s="755" t="s">
        <v>488</v>
      </c>
      <c r="E104" s="755" t="s">
        <v>489</v>
      </c>
      <c r="F104" s="755" t="s">
        <v>490</v>
      </c>
      <c r="G104" s="755" t="s">
        <v>491</v>
      </c>
      <c r="H104" s="756" t="s">
        <v>316</v>
      </c>
      <c r="I104" s="755" t="s">
        <v>492</v>
      </c>
    </row>
    <row r="105" spans="1:43" s="507" customFormat="1" ht="24">
      <c r="A105" s="757" t="s">
        <v>493</v>
      </c>
      <c r="B105" s="758">
        <v>7603</v>
      </c>
      <c r="C105" s="757" t="s">
        <v>494</v>
      </c>
      <c r="D105" s="757" t="s">
        <v>625</v>
      </c>
      <c r="E105" s="759" t="s">
        <v>496</v>
      </c>
      <c r="F105" s="759" t="s">
        <v>520</v>
      </c>
      <c r="G105" s="760">
        <v>50</v>
      </c>
      <c r="H105" s="761">
        <v>32.11</v>
      </c>
      <c r="I105" s="762">
        <f t="shared" ref="I105:I136" si="3">H105*G105</f>
        <v>1605.5</v>
      </c>
      <c r="AP105" s="604"/>
      <c r="AQ105" s="604"/>
    </row>
    <row r="106" spans="1:43" s="507" customFormat="1" ht="24">
      <c r="A106" s="757" t="s">
        <v>493</v>
      </c>
      <c r="B106" s="758">
        <v>11773</v>
      </c>
      <c r="C106" s="757" t="s">
        <v>494</v>
      </c>
      <c r="D106" s="757" t="s">
        <v>626</v>
      </c>
      <c r="E106" s="759" t="s">
        <v>496</v>
      </c>
      <c r="F106" s="759" t="s">
        <v>520</v>
      </c>
      <c r="G106" s="760">
        <v>10</v>
      </c>
      <c r="H106" s="761">
        <v>102.71</v>
      </c>
      <c r="I106" s="762">
        <f t="shared" si="3"/>
        <v>1027.0999999999999</v>
      </c>
      <c r="AP106" s="604"/>
      <c r="AQ106" s="604"/>
    </row>
    <row r="107" spans="1:43" s="507" customFormat="1">
      <c r="A107" s="757" t="s">
        <v>493</v>
      </c>
      <c r="B107" s="758">
        <v>1368</v>
      </c>
      <c r="C107" s="757" t="s">
        <v>494</v>
      </c>
      <c r="D107" s="757" t="s">
        <v>627</v>
      </c>
      <c r="E107" s="759" t="s">
        <v>496</v>
      </c>
      <c r="F107" s="759" t="s">
        <v>520</v>
      </c>
      <c r="G107" s="760">
        <v>20</v>
      </c>
      <c r="H107" s="761">
        <v>91.4</v>
      </c>
      <c r="I107" s="762">
        <f t="shared" si="3"/>
        <v>1828</v>
      </c>
      <c r="AP107" s="604"/>
      <c r="AQ107" s="604"/>
    </row>
    <row r="108" spans="1:43" s="507" customFormat="1">
      <c r="A108" s="757" t="s">
        <v>493</v>
      </c>
      <c r="B108" s="758">
        <v>6016</v>
      </c>
      <c r="C108" s="757" t="s">
        <v>527</v>
      </c>
      <c r="D108" s="757" t="s">
        <v>628</v>
      </c>
      <c r="E108" s="759" t="s">
        <v>496</v>
      </c>
      <c r="F108" s="759" t="s">
        <v>520</v>
      </c>
      <c r="G108" s="760">
        <v>10</v>
      </c>
      <c r="H108" s="761">
        <v>27.62</v>
      </c>
      <c r="I108" s="762">
        <f t="shared" si="3"/>
        <v>276.2</v>
      </c>
      <c r="AP108" s="604"/>
      <c r="AQ108" s="604"/>
    </row>
    <row r="109" spans="1:43" s="507" customFormat="1">
      <c r="A109" s="757" t="s">
        <v>493</v>
      </c>
      <c r="B109" s="763" t="s">
        <v>629</v>
      </c>
      <c r="C109" s="757" t="s">
        <v>561</v>
      </c>
      <c r="D109" s="757" t="s">
        <v>630</v>
      </c>
      <c r="E109" s="759" t="s">
        <v>496</v>
      </c>
      <c r="F109" s="759" t="s">
        <v>497</v>
      </c>
      <c r="G109" s="760">
        <v>50</v>
      </c>
      <c r="H109" s="761">
        <v>130.69</v>
      </c>
      <c r="I109" s="762">
        <f t="shared" si="3"/>
        <v>6534.5</v>
      </c>
      <c r="AP109" s="604"/>
      <c r="AQ109" s="604"/>
    </row>
    <row r="110" spans="1:43" s="507" customFormat="1">
      <c r="A110" s="757" t="s">
        <v>493</v>
      </c>
      <c r="B110" s="758">
        <v>6138</v>
      </c>
      <c r="C110" s="757" t="s">
        <v>527</v>
      </c>
      <c r="D110" s="757" t="s">
        <v>631</v>
      </c>
      <c r="E110" s="759" t="s">
        <v>496</v>
      </c>
      <c r="F110" s="759" t="s">
        <v>520</v>
      </c>
      <c r="G110" s="760">
        <v>20</v>
      </c>
      <c r="H110" s="761">
        <v>11.57</v>
      </c>
      <c r="I110" s="762">
        <f t="shared" si="3"/>
        <v>231.4</v>
      </c>
      <c r="AP110" s="604"/>
      <c r="AQ110" s="604"/>
    </row>
    <row r="111" spans="1:43" s="507" customFormat="1" ht="24">
      <c r="A111" s="757" t="s">
        <v>493</v>
      </c>
      <c r="B111" s="758">
        <v>36796</v>
      </c>
      <c r="C111" s="757" t="s">
        <v>527</v>
      </c>
      <c r="D111" s="757" t="s">
        <v>632</v>
      </c>
      <c r="E111" s="759" t="s">
        <v>496</v>
      </c>
      <c r="F111" s="759" t="s">
        <v>520</v>
      </c>
      <c r="G111" s="760">
        <v>100</v>
      </c>
      <c r="H111" s="761">
        <v>121.81</v>
      </c>
      <c r="I111" s="762">
        <f t="shared" si="3"/>
        <v>12181</v>
      </c>
      <c r="AP111" s="604"/>
      <c r="AQ111" s="604"/>
    </row>
    <row r="112" spans="1:43" s="507" customFormat="1">
      <c r="A112" s="757" t="s">
        <v>493</v>
      </c>
      <c r="B112" s="758">
        <v>6136</v>
      </c>
      <c r="C112" s="757" t="s">
        <v>494</v>
      </c>
      <c r="D112" s="757" t="s">
        <v>633</v>
      </c>
      <c r="E112" s="759" t="s">
        <v>496</v>
      </c>
      <c r="F112" s="759" t="s">
        <v>520</v>
      </c>
      <c r="G112" s="760">
        <v>40</v>
      </c>
      <c r="H112" s="761">
        <v>173</v>
      </c>
      <c r="I112" s="762">
        <f t="shared" si="3"/>
        <v>6920</v>
      </c>
      <c r="AP112" s="604"/>
      <c r="AQ112" s="604"/>
    </row>
    <row r="113" spans="1:43" s="507" customFormat="1">
      <c r="A113" s="757" t="s">
        <v>493</v>
      </c>
      <c r="B113" s="758">
        <v>6015</v>
      </c>
      <c r="C113" s="757" t="s">
        <v>527</v>
      </c>
      <c r="D113" s="757" t="s">
        <v>634</v>
      </c>
      <c r="E113" s="759" t="s">
        <v>496</v>
      </c>
      <c r="F113" s="759" t="s">
        <v>520</v>
      </c>
      <c r="G113" s="760">
        <v>50</v>
      </c>
      <c r="H113" s="761">
        <v>119.98</v>
      </c>
      <c r="I113" s="762">
        <f t="shared" si="3"/>
        <v>5999</v>
      </c>
      <c r="AP113" s="604"/>
      <c r="AQ113" s="604"/>
    </row>
    <row r="114" spans="1:43" s="507" customFormat="1" ht="24">
      <c r="A114" s="757" t="s">
        <v>493</v>
      </c>
      <c r="B114" s="758">
        <v>6016</v>
      </c>
      <c r="C114" s="757" t="s">
        <v>527</v>
      </c>
      <c r="D114" s="757" t="s">
        <v>635</v>
      </c>
      <c r="E114" s="759" t="s">
        <v>496</v>
      </c>
      <c r="F114" s="759" t="s">
        <v>520</v>
      </c>
      <c r="G114" s="760">
        <v>50</v>
      </c>
      <c r="H114" s="761">
        <v>27.62</v>
      </c>
      <c r="I114" s="762">
        <f t="shared" si="3"/>
        <v>1381</v>
      </c>
      <c r="AP114" s="604"/>
      <c r="AQ114" s="604"/>
    </row>
    <row r="115" spans="1:43" s="507" customFormat="1">
      <c r="A115" s="757" t="s">
        <v>493</v>
      </c>
      <c r="B115" s="758">
        <v>6141</v>
      </c>
      <c r="C115" s="757" t="s">
        <v>527</v>
      </c>
      <c r="D115" s="757" t="s">
        <v>636</v>
      </c>
      <c r="E115" s="759" t="s">
        <v>496</v>
      </c>
      <c r="F115" s="759" t="s">
        <v>637</v>
      </c>
      <c r="G115" s="760">
        <v>50</v>
      </c>
      <c r="H115" s="761">
        <v>6.5</v>
      </c>
      <c r="I115" s="762">
        <f t="shared" si="3"/>
        <v>325</v>
      </c>
      <c r="AP115" s="604"/>
      <c r="AQ115" s="604"/>
    </row>
    <row r="116" spans="1:43" s="507" customFormat="1">
      <c r="A116" s="757" t="s">
        <v>493</v>
      </c>
      <c r="B116" s="758">
        <v>11681</v>
      </c>
      <c r="C116" s="757" t="s">
        <v>527</v>
      </c>
      <c r="D116" s="757" t="s">
        <v>638</v>
      </c>
      <c r="E116" s="759" t="s">
        <v>496</v>
      </c>
      <c r="F116" s="759" t="s">
        <v>637</v>
      </c>
      <c r="G116" s="760">
        <v>50</v>
      </c>
      <c r="H116" s="761">
        <v>8.1999999999999993</v>
      </c>
      <c r="I116" s="762">
        <f t="shared" si="3"/>
        <v>409.99999999999994</v>
      </c>
      <c r="AP116" s="604"/>
      <c r="AQ116" s="604"/>
    </row>
    <row r="117" spans="1:43" s="507" customFormat="1">
      <c r="A117" s="757" t="s">
        <v>493</v>
      </c>
      <c r="B117" s="758">
        <v>296</v>
      </c>
      <c r="C117" s="757" t="s">
        <v>527</v>
      </c>
      <c r="D117" s="757" t="s">
        <v>639</v>
      </c>
      <c r="E117" s="759" t="s">
        <v>496</v>
      </c>
      <c r="F117" s="759" t="s">
        <v>520</v>
      </c>
      <c r="G117" s="760">
        <v>50</v>
      </c>
      <c r="H117" s="761">
        <v>1.45</v>
      </c>
      <c r="I117" s="762">
        <f t="shared" si="3"/>
        <v>72.5</v>
      </c>
      <c r="AP117" s="604"/>
      <c r="AQ117" s="604"/>
    </row>
    <row r="118" spans="1:43" s="507" customFormat="1" ht="14.25" customHeight="1">
      <c r="A118" s="757" t="s">
        <v>493</v>
      </c>
      <c r="B118" s="758">
        <v>17044</v>
      </c>
      <c r="C118" s="757" t="s">
        <v>533</v>
      </c>
      <c r="D118" s="757" t="s">
        <v>640</v>
      </c>
      <c r="E118" s="759" t="s">
        <v>496</v>
      </c>
      <c r="F118" s="759" t="s">
        <v>520</v>
      </c>
      <c r="G118" s="760">
        <v>50</v>
      </c>
      <c r="H118" s="761">
        <v>6.96</v>
      </c>
      <c r="I118" s="762">
        <f t="shared" si="3"/>
        <v>348</v>
      </c>
      <c r="AP118" s="604"/>
      <c r="AQ118" s="604"/>
    </row>
    <row r="119" spans="1:43" s="507" customFormat="1">
      <c r="A119" s="757" t="s">
        <v>493</v>
      </c>
      <c r="B119" s="758">
        <v>6157</v>
      </c>
      <c r="C119" s="757" t="s">
        <v>527</v>
      </c>
      <c r="D119" s="757" t="s">
        <v>641</v>
      </c>
      <c r="E119" s="759" t="s">
        <v>496</v>
      </c>
      <c r="F119" s="759" t="s">
        <v>520</v>
      </c>
      <c r="G119" s="760">
        <v>100</v>
      </c>
      <c r="H119" s="761">
        <v>59.08</v>
      </c>
      <c r="I119" s="762">
        <f t="shared" si="3"/>
        <v>5908</v>
      </c>
      <c r="AP119" s="604"/>
      <c r="AQ119" s="604"/>
    </row>
    <row r="120" spans="1:43" s="507" customFormat="1">
      <c r="A120" s="757" t="s">
        <v>493</v>
      </c>
      <c r="B120" s="758">
        <v>11684</v>
      </c>
      <c r="C120" s="757" t="s">
        <v>494</v>
      </c>
      <c r="D120" s="757" t="s">
        <v>642</v>
      </c>
      <c r="E120" s="759" t="s">
        <v>496</v>
      </c>
      <c r="F120" s="759" t="s">
        <v>520</v>
      </c>
      <c r="G120" s="760">
        <v>80</v>
      </c>
      <c r="H120" s="761">
        <v>43.42</v>
      </c>
      <c r="I120" s="762">
        <f t="shared" si="3"/>
        <v>3473.6000000000004</v>
      </c>
      <c r="AP120" s="604"/>
      <c r="AQ120" s="604"/>
    </row>
    <row r="121" spans="1:43" s="507" customFormat="1" ht="23.25" customHeight="1">
      <c r="A121" s="757" t="s">
        <v>493</v>
      </c>
      <c r="B121" s="758">
        <v>37588</v>
      </c>
      <c r="C121" s="757" t="s">
        <v>494</v>
      </c>
      <c r="D121" s="757" t="s">
        <v>643</v>
      </c>
      <c r="E121" s="759" t="s">
        <v>496</v>
      </c>
      <c r="F121" s="759" t="s">
        <v>520</v>
      </c>
      <c r="G121" s="760">
        <v>50</v>
      </c>
      <c r="H121" s="761">
        <v>54.42</v>
      </c>
      <c r="I121" s="762">
        <f t="shared" si="3"/>
        <v>2721</v>
      </c>
      <c r="AP121" s="604"/>
      <c r="AQ121" s="604"/>
    </row>
    <row r="122" spans="1:43" s="507" customFormat="1" ht="24">
      <c r="A122" s="757" t="s">
        <v>493</v>
      </c>
      <c r="B122" s="758">
        <v>1368</v>
      </c>
      <c r="C122" s="757" t="s">
        <v>494</v>
      </c>
      <c r="D122" s="757" t="s">
        <v>644</v>
      </c>
      <c r="E122" s="759" t="s">
        <v>496</v>
      </c>
      <c r="F122" s="759" t="s">
        <v>520</v>
      </c>
      <c r="G122" s="760">
        <v>50</v>
      </c>
      <c r="H122" s="761">
        <v>91.4</v>
      </c>
      <c r="I122" s="762">
        <f t="shared" si="3"/>
        <v>4570</v>
      </c>
      <c r="AP122" s="604"/>
      <c r="AQ122" s="604"/>
    </row>
    <row r="123" spans="1:43" s="507" customFormat="1" ht="24">
      <c r="A123" s="757" t="s">
        <v>493</v>
      </c>
      <c r="B123" s="758">
        <v>6005</v>
      </c>
      <c r="C123" s="757" t="s">
        <v>494</v>
      </c>
      <c r="D123" s="757" t="s">
        <v>645</v>
      </c>
      <c r="E123" s="759" t="s">
        <v>496</v>
      </c>
      <c r="F123" s="759" t="s">
        <v>520</v>
      </c>
      <c r="G123" s="760">
        <v>50</v>
      </c>
      <c r="H123" s="761">
        <v>67.400000000000006</v>
      </c>
      <c r="I123" s="762">
        <f t="shared" si="3"/>
        <v>3370.0000000000005</v>
      </c>
      <c r="AP123" s="604"/>
      <c r="AQ123" s="604"/>
    </row>
    <row r="124" spans="1:43" s="507" customFormat="1">
      <c r="A124" s="757" t="s">
        <v>493</v>
      </c>
      <c r="B124" s="758">
        <v>6038</v>
      </c>
      <c r="C124" s="757" t="s">
        <v>494</v>
      </c>
      <c r="D124" s="757" t="s">
        <v>646</v>
      </c>
      <c r="E124" s="759" t="s">
        <v>496</v>
      </c>
      <c r="F124" s="759" t="s">
        <v>520</v>
      </c>
      <c r="G124" s="760">
        <v>50</v>
      </c>
      <c r="H124" s="761">
        <v>7.25</v>
      </c>
      <c r="I124" s="762">
        <f t="shared" si="3"/>
        <v>362.5</v>
      </c>
      <c r="AP124" s="604"/>
      <c r="AQ124" s="604"/>
    </row>
    <row r="125" spans="1:43" s="507" customFormat="1" ht="24">
      <c r="A125" s="757" t="s">
        <v>493</v>
      </c>
      <c r="B125" s="758" t="s">
        <v>647</v>
      </c>
      <c r="C125" s="757" t="s">
        <v>515</v>
      </c>
      <c r="D125" s="757" t="s">
        <v>648</v>
      </c>
      <c r="E125" s="759" t="s">
        <v>496</v>
      </c>
      <c r="F125" s="759" t="s">
        <v>520</v>
      </c>
      <c r="G125" s="760">
        <v>100</v>
      </c>
      <c r="H125" s="761">
        <v>71.260000000000005</v>
      </c>
      <c r="I125" s="762">
        <f t="shared" si="3"/>
        <v>7126.0000000000009</v>
      </c>
      <c r="AP125" s="604"/>
      <c r="AQ125" s="604"/>
    </row>
    <row r="126" spans="1:43" s="507" customFormat="1">
      <c r="A126" s="757" t="s">
        <v>493</v>
      </c>
      <c r="B126" s="758">
        <v>10422</v>
      </c>
      <c r="C126" s="757" t="s">
        <v>494</v>
      </c>
      <c r="D126" s="757" t="s">
        <v>649</v>
      </c>
      <c r="E126" s="759" t="s">
        <v>496</v>
      </c>
      <c r="F126" s="759" t="s">
        <v>520</v>
      </c>
      <c r="G126" s="760">
        <v>80</v>
      </c>
      <c r="H126" s="761">
        <v>365.61</v>
      </c>
      <c r="I126" s="762">
        <f t="shared" si="3"/>
        <v>29248.800000000003</v>
      </c>
      <c r="AP126" s="604"/>
      <c r="AQ126" s="604"/>
    </row>
    <row r="127" spans="1:43" s="507" customFormat="1" ht="24">
      <c r="A127" s="757" t="s">
        <v>493</v>
      </c>
      <c r="B127" s="758">
        <v>11955</v>
      </c>
      <c r="C127" s="757" t="s">
        <v>494</v>
      </c>
      <c r="D127" s="757" t="s">
        <v>650</v>
      </c>
      <c r="E127" s="759" t="s">
        <v>496</v>
      </c>
      <c r="F127" s="759" t="s">
        <v>520</v>
      </c>
      <c r="G127" s="760">
        <v>100</v>
      </c>
      <c r="H127" s="761">
        <v>4.6900000000000004</v>
      </c>
      <c r="I127" s="762">
        <f t="shared" si="3"/>
        <v>469.00000000000006</v>
      </c>
      <c r="AP127" s="604"/>
      <c r="AQ127" s="604"/>
    </row>
    <row r="128" spans="1:43" s="507" customFormat="1" ht="24">
      <c r="A128" s="757" t="s">
        <v>493</v>
      </c>
      <c r="B128" s="758">
        <v>4358</v>
      </c>
      <c r="C128" s="757" t="s">
        <v>494</v>
      </c>
      <c r="D128" s="757" t="s">
        <v>651</v>
      </c>
      <c r="E128" s="759" t="s">
        <v>496</v>
      </c>
      <c r="F128" s="759" t="s">
        <v>520</v>
      </c>
      <c r="G128" s="760">
        <v>100</v>
      </c>
      <c r="H128" s="761">
        <v>2.15</v>
      </c>
      <c r="I128" s="762">
        <f t="shared" si="3"/>
        <v>215</v>
      </c>
      <c r="AP128" s="604"/>
      <c r="AQ128" s="604"/>
    </row>
    <row r="129" spans="1:43" s="507" customFormat="1">
      <c r="A129" s="757" t="s">
        <v>493</v>
      </c>
      <c r="B129" s="758">
        <v>11752</v>
      </c>
      <c r="C129" s="757" t="s">
        <v>494</v>
      </c>
      <c r="D129" s="757" t="s">
        <v>652</v>
      </c>
      <c r="E129" s="759" t="s">
        <v>496</v>
      </c>
      <c r="F129" s="759" t="s">
        <v>520</v>
      </c>
      <c r="G129" s="760">
        <v>30</v>
      </c>
      <c r="H129" s="761">
        <v>18.559999999999999</v>
      </c>
      <c r="I129" s="762">
        <f t="shared" si="3"/>
        <v>556.79999999999995</v>
      </c>
      <c r="AP129" s="604"/>
      <c r="AQ129" s="604"/>
    </row>
    <row r="130" spans="1:43" s="507" customFormat="1" ht="24">
      <c r="A130" s="757" t="s">
        <v>493</v>
      </c>
      <c r="B130" s="758">
        <v>11772</v>
      </c>
      <c r="C130" s="757" t="s">
        <v>494</v>
      </c>
      <c r="D130" s="757" t="s">
        <v>653</v>
      </c>
      <c r="E130" s="759" t="s">
        <v>496</v>
      </c>
      <c r="F130" s="759" t="s">
        <v>520</v>
      </c>
      <c r="G130" s="760">
        <v>40</v>
      </c>
      <c r="H130" s="761">
        <v>103.24</v>
      </c>
      <c r="I130" s="762">
        <f t="shared" si="3"/>
        <v>4129.5999999999995</v>
      </c>
      <c r="AP130" s="604"/>
      <c r="AQ130" s="604"/>
    </row>
    <row r="131" spans="1:43" s="507" customFormat="1" ht="24">
      <c r="A131" s="757" t="s">
        <v>493</v>
      </c>
      <c r="B131" s="758">
        <v>10418</v>
      </c>
      <c r="C131" s="757" t="s">
        <v>527</v>
      </c>
      <c r="D131" s="757" t="s">
        <v>654</v>
      </c>
      <c r="E131" s="759" t="s">
        <v>496</v>
      </c>
      <c r="F131" s="759" t="s">
        <v>520</v>
      </c>
      <c r="G131" s="760">
        <v>50</v>
      </c>
      <c r="H131" s="761">
        <v>52.52</v>
      </c>
      <c r="I131" s="762">
        <f t="shared" si="3"/>
        <v>2626</v>
      </c>
      <c r="AP131" s="604"/>
      <c r="AQ131" s="604"/>
    </row>
    <row r="132" spans="1:43" s="507" customFormat="1">
      <c r="A132" s="757" t="s">
        <v>493</v>
      </c>
      <c r="B132" s="758">
        <v>6295</v>
      </c>
      <c r="C132" s="757" t="s">
        <v>494</v>
      </c>
      <c r="D132" s="757" t="s">
        <v>655</v>
      </c>
      <c r="E132" s="759" t="s">
        <v>496</v>
      </c>
      <c r="F132" s="759" t="s">
        <v>520</v>
      </c>
      <c r="G132" s="760">
        <v>50</v>
      </c>
      <c r="H132" s="761">
        <v>14.98</v>
      </c>
      <c r="I132" s="762">
        <f t="shared" si="3"/>
        <v>749</v>
      </c>
      <c r="AP132" s="604"/>
      <c r="AQ132" s="604"/>
    </row>
    <row r="133" spans="1:43" s="507" customFormat="1">
      <c r="A133" s="757" t="s">
        <v>493</v>
      </c>
      <c r="B133" s="758">
        <v>65</v>
      </c>
      <c r="C133" s="757" t="s">
        <v>494</v>
      </c>
      <c r="D133" s="757" t="s">
        <v>656</v>
      </c>
      <c r="E133" s="759" t="s">
        <v>496</v>
      </c>
      <c r="F133" s="759" t="s">
        <v>520</v>
      </c>
      <c r="G133" s="760">
        <v>50</v>
      </c>
      <c r="H133" s="761">
        <v>0.86</v>
      </c>
      <c r="I133" s="762">
        <f t="shared" si="3"/>
        <v>43</v>
      </c>
      <c r="AP133" s="604"/>
      <c r="AQ133" s="604"/>
    </row>
    <row r="134" spans="1:43" s="507" customFormat="1">
      <c r="A134" s="757" t="s">
        <v>493</v>
      </c>
      <c r="B134" s="758">
        <v>37975</v>
      </c>
      <c r="C134" s="757" t="s">
        <v>494</v>
      </c>
      <c r="D134" s="757" t="s">
        <v>657</v>
      </c>
      <c r="E134" s="759" t="s">
        <v>496</v>
      </c>
      <c r="F134" s="759" t="s">
        <v>520</v>
      </c>
      <c r="G134" s="760">
        <v>50</v>
      </c>
      <c r="H134" s="761">
        <v>5.15</v>
      </c>
      <c r="I134" s="762">
        <f t="shared" si="3"/>
        <v>257.5</v>
      </c>
      <c r="AP134" s="604"/>
      <c r="AQ134" s="604"/>
    </row>
    <row r="135" spans="1:43" s="507" customFormat="1">
      <c r="A135" s="757" t="s">
        <v>493</v>
      </c>
      <c r="B135" s="758">
        <v>3441</v>
      </c>
      <c r="C135" s="757" t="s">
        <v>494</v>
      </c>
      <c r="D135" s="757" t="s">
        <v>658</v>
      </c>
      <c r="E135" s="759" t="s">
        <v>496</v>
      </c>
      <c r="F135" s="759" t="s">
        <v>520</v>
      </c>
      <c r="G135" s="760">
        <v>40</v>
      </c>
      <c r="H135" s="761">
        <v>9.23</v>
      </c>
      <c r="I135" s="762">
        <f t="shared" si="3"/>
        <v>369.20000000000005</v>
      </c>
      <c r="AP135" s="604"/>
      <c r="AQ135" s="604"/>
    </row>
    <row r="136" spans="1:43" s="507" customFormat="1">
      <c r="A136" s="757" t="s">
        <v>493</v>
      </c>
      <c r="B136" s="758">
        <v>3442</v>
      </c>
      <c r="C136" s="757" t="s">
        <v>494</v>
      </c>
      <c r="D136" s="757" t="s">
        <v>659</v>
      </c>
      <c r="E136" s="759" t="s">
        <v>496</v>
      </c>
      <c r="F136" s="759" t="s">
        <v>520</v>
      </c>
      <c r="G136" s="760">
        <v>40</v>
      </c>
      <c r="H136" s="761">
        <v>13.8</v>
      </c>
      <c r="I136" s="762">
        <f t="shared" si="3"/>
        <v>552</v>
      </c>
      <c r="AP136" s="604"/>
      <c r="AQ136" s="604"/>
    </row>
    <row r="137" spans="1:43" s="507" customFormat="1">
      <c r="A137" s="757" t="s">
        <v>493</v>
      </c>
      <c r="B137" s="758">
        <v>21119</v>
      </c>
      <c r="C137" s="757" t="s">
        <v>494</v>
      </c>
      <c r="D137" s="757" t="s">
        <v>660</v>
      </c>
      <c r="E137" s="759" t="s">
        <v>496</v>
      </c>
      <c r="F137" s="759" t="s">
        <v>520</v>
      </c>
      <c r="G137" s="760">
        <v>40</v>
      </c>
      <c r="H137" s="761">
        <v>1.79</v>
      </c>
      <c r="I137" s="762">
        <f t="shared" ref="I137:I169" si="4">H137*G137</f>
        <v>71.599999999999994</v>
      </c>
      <c r="AP137" s="604"/>
      <c r="AQ137" s="604"/>
    </row>
    <row r="138" spans="1:43" s="507" customFormat="1">
      <c r="A138" s="757" t="s">
        <v>493</v>
      </c>
      <c r="B138" s="758">
        <v>3868</v>
      </c>
      <c r="C138" s="757" t="s">
        <v>494</v>
      </c>
      <c r="D138" s="757" t="s">
        <v>661</v>
      </c>
      <c r="E138" s="759" t="s">
        <v>496</v>
      </c>
      <c r="F138" s="759" t="s">
        <v>520</v>
      </c>
      <c r="G138" s="760">
        <v>40</v>
      </c>
      <c r="H138" s="761">
        <v>1.36</v>
      </c>
      <c r="I138" s="762">
        <f t="shared" si="4"/>
        <v>54.400000000000006</v>
      </c>
      <c r="AP138" s="604"/>
      <c r="AQ138" s="604"/>
    </row>
    <row r="139" spans="1:43" s="507" customFormat="1">
      <c r="A139" s="757" t="s">
        <v>493</v>
      </c>
      <c r="B139" s="758">
        <v>107</v>
      </c>
      <c r="C139" s="757" t="s">
        <v>494</v>
      </c>
      <c r="D139" s="757" t="s">
        <v>662</v>
      </c>
      <c r="E139" s="759" t="s">
        <v>496</v>
      </c>
      <c r="F139" s="759" t="s">
        <v>520</v>
      </c>
      <c r="G139" s="760">
        <v>40</v>
      </c>
      <c r="H139" s="761">
        <v>0.79</v>
      </c>
      <c r="I139" s="762">
        <f t="shared" si="4"/>
        <v>31.6</v>
      </c>
      <c r="AP139" s="604"/>
      <c r="AQ139" s="604"/>
    </row>
    <row r="140" spans="1:43" s="507" customFormat="1">
      <c r="A140" s="757" t="s">
        <v>493</v>
      </c>
      <c r="B140" s="763" t="s">
        <v>663</v>
      </c>
      <c r="C140" s="757" t="s">
        <v>561</v>
      </c>
      <c r="D140" s="757" t="s">
        <v>664</v>
      </c>
      <c r="E140" s="759" t="s">
        <v>496</v>
      </c>
      <c r="F140" s="759" t="s">
        <v>520</v>
      </c>
      <c r="G140" s="760">
        <v>100</v>
      </c>
      <c r="H140" s="761">
        <v>33.31</v>
      </c>
      <c r="I140" s="762">
        <f t="shared" si="4"/>
        <v>3331</v>
      </c>
      <c r="AP140" s="604"/>
      <c r="AQ140" s="604"/>
    </row>
    <row r="141" spans="1:43" s="507" customFormat="1">
      <c r="A141" s="757" t="s">
        <v>493</v>
      </c>
      <c r="B141" s="758">
        <v>37963</v>
      </c>
      <c r="C141" s="757" t="s">
        <v>494</v>
      </c>
      <c r="D141" s="757" t="s">
        <v>665</v>
      </c>
      <c r="E141" s="759" t="s">
        <v>496</v>
      </c>
      <c r="F141" s="759" t="s">
        <v>520</v>
      </c>
      <c r="G141" s="760">
        <v>50</v>
      </c>
      <c r="H141" s="761">
        <v>4.28</v>
      </c>
      <c r="I141" s="762">
        <f t="shared" si="4"/>
        <v>214</v>
      </c>
      <c r="AP141" s="604"/>
      <c r="AQ141" s="604"/>
    </row>
    <row r="142" spans="1:43" s="507" customFormat="1">
      <c r="A142" s="757" t="s">
        <v>493</v>
      </c>
      <c r="B142" s="758">
        <v>37965</v>
      </c>
      <c r="C142" s="757" t="s">
        <v>494</v>
      </c>
      <c r="D142" s="757" t="s">
        <v>666</v>
      </c>
      <c r="E142" s="759" t="s">
        <v>496</v>
      </c>
      <c r="F142" s="759" t="s">
        <v>520</v>
      </c>
      <c r="G142" s="760">
        <v>50</v>
      </c>
      <c r="H142" s="761">
        <v>8.25</v>
      </c>
      <c r="I142" s="762">
        <f t="shared" si="4"/>
        <v>412.5</v>
      </c>
      <c r="AP142" s="604"/>
      <c r="AQ142" s="604"/>
    </row>
    <row r="143" spans="1:43" s="507" customFormat="1">
      <c r="A143" s="757" t="s">
        <v>493</v>
      </c>
      <c r="B143" s="758">
        <v>12716</v>
      </c>
      <c r="C143" s="757" t="s">
        <v>494</v>
      </c>
      <c r="D143" s="757" t="s">
        <v>667</v>
      </c>
      <c r="E143" s="759" t="s">
        <v>496</v>
      </c>
      <c r="F143" s="759" t="s">
        <v>520</v>
      </c>
      <c r="G143" s="760">
        <v>50</v>
      </c>
      <c r="H143" s="761">
        <v>19.82</v>
      </c>
      <c r="I143" s="762">
        <f t="shared" si="4"/>
        <v>991</v>
      </c>
      <c r="AP143" s="604"/>
      <c r="AQ143" s="604"/>
    </row>
    <row r="144" spans="1:43" s="507" customFormat="1" ht="15" customHeight="1">
      <c r="A144" s="757" t="s">
        <v>493</v>
      </c>
      <c r="B144" s="758">
        <v>12714</v>
      </c>
      <c r="C144" s="757" t="s">
        <v>494</v>
      </c>
      <c r="D144" s="757" t="s">
        <v>668</v>
      </c>
      <c r="E144" s="759" t="s">
        <v>496</v>
      </c>
      <c r="F144" s="759" t="s">
        <v>520</v>
      </c>
      <c r="G144" s="760">
        <v>50</v>
      </c>
      <c r="H144" s="761">
        <v>5.1100000000000003</v>
      </c>
      <c r="I144" s="762">
        <f t="shared" si="4"/>
        <v>255.50000000000003</v>
      </c>
      <c r="AP144" s="604"/>
      <c r="AQ144" s="604"/>
    </row>
    <row r="145" spans="1:43" s="507" customFormat="1">
      <c r="A145" s="757" t="s">
        <v>493</v>
      </c>
      <c r="B145" s="758">
        <v>4177</v>
      </c>
      <c r="C145" s="757" t="s">
        <v>494</v>
      </c>
      <c r="D145" s="757" t="s">
        <v>669</v>
      </c>
      <c r="E145" s="759" t="s">
        <v>496</v>
      </c>
      <c r="F145" s="759" t="s">
        <v>520</v>
      </c>
      <c r="G145" s="760">
        <v>50</v>
      </c>
      <c r="H145" s="761">
        <v>6.3</v>
      </c>
      <c r="I145" s="762">
        <f t="shared" si="4"/>
        <v>315</v>
      </c>
      <c r="AP145" s="604"/>
      <c r="AQ145" s="604"/>
    </row>
    <row r="146" spans="1:43" s="507" customFormat="1">
      <c r="A146" s="757" t="s">
        <v>493</v>
      </c>
      <c r="B146" s="758">
        <v>4178</v>
      </c>
      <c r="C146" s="757" t="s">
        <v>494</v>
      </c>
      <c r="D146" s="757" t="s">
        <v>670</v>
      </c>
      <c r="E146" s="759" t="s">
        <v>496</v>
      </c>
      <c r="F146" s="759" t="s">
        <v>520</v>
      </c>
      <c r="G146" s="760">
        <v>50</v>
      </c>
      <c r="H146" s="761">
        <v>8.74</v>
      </c>
      <c r="I146" s="762">
        <f t="shared" si="4"/>
        <v>437</v>
      </c>
      <c r="AP146" s="604"/>
      <c r="AQ146" s="604"/>
    </row>
    <row r="147" spans="1:43" s="507" customFormat="1" ht="24">
      <c r="A147" s="757" t="s">
        <v>493</v>
      </c>
      <c r="B147" s="758">
        <v>39886</v>
      </c>
      <c r="C147" s="757" t="s">
        <v>494</v>
      </c>
      <c r="D147" s="757" t="s">
        <v>671</v>
      </c>
      <c r="E147" s="759" t="s">
        <v>496</v>
      </c>
      <c r="F147" s="759" t="s">
        <v>520</v>
      </c>
      <c r="G147" s="760">
        <v>50</v>
      </c>
      <c r="H147" s="761">
        <v>5.88</v>
      </c>
      <c r="I147" s="762">
        <f t="shared" si="4"/>
        <v>294</v>
      </c>
      <c r="AP147" s="604"/>
      <c r="AQ147" s="604"/>
    </row>
    <row r="148" spans="1:43" s="507" customFormat="1" ht="24">
      <c r="A148" s="757" t="s">
        <v>493</v>
      </c>
      <c r="B148" s="758">
        <v>39887</v>
      </c>
      <c r="C148" s="757" t="s">
        <v>494</v>
      </c>
      <c r="D148" s="757" t="s">
        <v>672</v>
      </c>
      <c r="E148" s="759" t="s">
        <v>496</v>
      </c>
      <c r="F148" s="759" t="s">
        <v>520</v>
      </c>
      <c r="G148" s="760">
        <v>50</v>
      </c>
      <c r="H148" s="761">
        <v>8.82</v>
      </c>
      <c r="I148" s="762">
        <f t="shared" si="4"/>
        <v>441</v>
      </c>
      <c r="AP148" s="604"/>
      <c r="AQ148" s="604"/>
    </row>
    <row r="149" spans="1:43" s="507" customFormat="1">
      <c r="A149" s="757" t="s">
        <v>493</v>
      </c>
      <c r="B149" s="758">
        <v>3451</v>
      </c>
      <c r="C149" s="757" t="s">
        <v>494</v>
      </c>
      <c r="D149" s="757" t="s">
        <v>673</v>
      </c>
      <c r="E149" s="759" t="s">
        <v>496</v>
      </c>
      <c r="F149" s="759" t="s">
        <v>520</v>
      </c>
      <c r="G149" s="760">
        <v>50</v>
      </c>
      <c r="H149" s="761">
        <v>12.84</v>
      </c>
      <c r="I149" s="762">
        <f t="shared" si="4"/>
        <v>642</v>
      </c>
      <c r="AP149" s="604"/>
      <c r="AQ149" s="604"/>
    </row>
    <row r="150" spans="1:43" s="507" customFormat="1">
      <c r="A150" s="757" t="s">
        <v>493</v>
      </c>
      <c r="B150" s="758">
        <v>12714</v>
      </c>
      <c r="C150" s="757" t="s">
        <v>494</v>
      </c>
      <c r="D150" s="757" t="s">
        <v>668</v>
      </c>
      <c r="E150" s="759" t="s">
        <v>496</v>
      </c>
      <c r="F150" s="759" t="s">
        <v>520</v>
      </c>
      <c r="G150" s="760">
        <v>50</v>
      </c>
      <c r="H150" s="761">
        <v>5.1100000000000003</v>
      </c>
      <c r="I150" s="762">
        <f t="shared" si="4"/>
        <v>255.50000000000003</v>
      </c>
      <c r="AP150" s="604"/>
      <c r="AQ150" s="604"/>
    </row>
    <row r="151" spans="1:43" s="507" customFormat="1">
      <c r="A151" s="757" t="s">
        <v>493</v>
      </c>
      <c r="B151" s="758">
        <v>3441</v>
      </c>
      <c r="C151" s="757" t="s">
        <v>494</v>
      </c>
      <c r="D151" s="757" t="s">
        <v>658</v>
      </c>
      <c r="E151" s="759" t="s">
        <v>496</v>
      </c>
      <c r="F151" s="759" t="s">
        <v>520</v>
      </c>
      <c r="G151" s="760">
        <v>50</v>
      </c>
      <c r="H151" s="761">
        <v>9.23</v>
      </c>
      <c r="I151" s="762">
        <f t="shared" si="4"/>
        <v>461.5</v>
      </c>
      <c r="AP151" s="604"/>
      <c r="AQ151" s="604"/>
    </row>
    <row r="152" spans="1:43" s="507" customFormat="1">
      <c r="A152" s="757" t="s">
        <v>493</v>
      </c>
      <c r="B152" s="758">
        <v>3442</v>
      </c>
      <c r="C152" s="757" t="s">
        <v>494</v>
      </c>
      <c r="D152" s="757" t="s">
        <v>659</v>
      </c>
      <c r="E152" s="759" t="s">
        <v>496</v>
      </c>
      <c r="F152" s="759" t="s">
        <v>520</v>
      </c>
      <c r="G152" s="760">
        <v>50</v>
      </c>
      <c r="H152" s="761">
        <v>13.8</v>
      </c>
      <c r="I152" s="762">
        <f t="shared" si="4"/>
        <v>690</v>
      </c>
      <c r="AP152" s="604"/>
      <c r="AQ152" s="604"/>
    </row>
    <row r="153" spans="1:43" s="507" customFormat="1">
      <c r="A153" s="757" t="s">
        <v>493</v>
      </c>
      <c r="B153" s="758">
        <v>3148</v>
      </c>
      <c r="C153" s="757" t="s">
        <v>494</v>
      </c>
      <c r="D153" s="757" t="s">
        <v>674</v>
      </c>
      <c r="E153" s="759" t="s">
        <v>496</v>
      </c>
      <c r="F153" s="759" t="s">
        <v>520</v>
      </c>
      <c r="G153" s="760">
        <v>100</v>
      </c>
      <c r="H153" s="761">
        <v>10.25</v>
      </c>
      <c r="I153" s="762">
        <f t="shared" si="4"/>
        <v>1025</v>
      </c>
      <c r="AP153" s="604"/>
      <c r="AQ153" s="604"/>
    </row>
    <row r="154" spans="1:43" s="507" customFormat="1">
      <c r="A154" s="757" t="s">
        <v>493</v>
      </c>
      <c r="B154" s="758">
        <v>11741</v>
      </c>
      <c r="C154" s="757" t="s">
        <v>494</v>
      </c>
      <c r="D154" s="757" t="s">
        <v>675</v>
      </c>
      <c r="E154" s="759" t="s">
        <v>496</v>
      </c>
      <c r="F154" s="759" t="s">
        <v>520</v>
      </c>
      <c r="G154" s="760">
        <v>30</v>
      </c>
      <c r="H154" s="761">
        <v>12.06</v>
      </c>
      <c r="I154" s="762">
        <f t="shared" si="4"/>
        <v>361.8</v>
      </c>
      <c r="AP154" s="604"/>
      <c r="AQ154" s="604"/>
    </row>
    <row r="155" spans="1:43" s="507" customFormat="1">
      <c r="A155" s="757" t="s">
        <v>493</v>
      </c>
      <c r="B155" s="758">
        <v>301</v>
      </c>
      <c r="C155" s="757" t="s">
        <v>494</v>
      </c>
      <c r="D155" s="757" t="s">
        <v>676</v>
      </c>
      <c r="E155" s="759" t="s">
        <v>496</v>
      </c>
      <c r="F155" s="759" t="s">
        <v>520</v>
      </c>
      <c r="G155" s="760">
        <v>50</v>
      </c>
      <c r="H155" s="761">
        <v>2.58</v>
      </c>
      <c r="I155" s="762">
        <f t="shared" si="4"/>
        <v>129</v>
      </c>
      <c r="AP155" s="604"/>
      <c r="AQ155" s="604"/>
    </row>
    <row r="156" spans="1:43" s="507" customFormat="1">
      <c r="A156" s="757" t="s">
        <v>493</v>
      </c>
      <c r="B156" s="758">
        <v>298</v>
      </c>
      <c r="C156" s="757" t="s">
        <v>494</v>
      </c>
      <c r="D156" s="757" t="s">
        <v>677</v>
      </c>
      <c r="E156" s="759" t="s">
        <v>496</v>
      </c>
      <c r="F156" s="759" t="s">
        <v>520</v>
      </c>
      <c r="G156" s="760">
        <v>50</v>
      </c>
      <c r="H156" s="761">
        <v>2.3199999999999998</v>
      </c>
      <c r="I156" s="762">
        <f t="shared" si="4"/>
        <v>115.99999999999999</v>
      </c>
      <c r="AP156" s="604"/>
      <c r="AQ156" s="604"/>
    </row>
    <row r="157" spans="1:43" s="507" customFormat="1">
      <c r="A157" s="757" t="s">
        <v>493</v>
      </c>
      <c r="B157" s="763" t="s">
        <v>678</v>
      </c>
      <c r="C157" s="757" t="s">
        <v>518</v>
      </c>
      <c r="D157" s="757" t="s">
        <v>679</v>
      </c>
      <c r="E157" s="759" t="s">
        <v>496</v>
      </c>
      <c r="F157" s="759" t="s">
        <v>520</v>
      </c>
      <c r="G157" s="760">
        <v>50</v>
      </c>
      <c r="H157" s="761">
        <v>1.41</v>
      </c>
      <c r="I157" s="762">
        <f t="shared" si="4"/>
        <v>70.5</v>
      </c>
      <c r="AP157" s="604"/>
      <c r="AQ157" s="604"/>
    </row>
    <row r="158" spans="1:43" s="507" customFormat="1">
      <c r="A158" s="757" t="s">
        <v>493</v>
      </c>
      <c r="B158" s="763">
        <v>3469</v>
      </c>
      <c r="C158" s="757" t="s">
        <v>494</v>
      </c>
      <c r="D158" s="757" t="s">
        <v>680</v>
      </c>
      <c r="E158" s="759" t="s">
        <v>496</v>
      </c>
      <c r="F158" s="759" t="s">
        <v>520</v>
      </c>
      <c r="G158" s="760">
        <v>20</v>
      </c>
      <c r="H158" s="761">
        <v>271.92</v>
      </c>
      <c r="I158" s="762">
        <f t="shared" si="4"/>
        <v>5438.4000000000005</v>
      </c>
      <c r="AP158" s="604"/>
      <c r="AQ158" s="604"/>
    </row>
    <row r="159" spans="1:43" s="507" customFormat="1">
      <c r="A159" s="757" t="s">
        <v>493</v>
      </c>
      <c r="B159" s="763">
        <v>3449</v>
      </c>
      <c r="C159" s="757" t="s">
        <v>494</v>
      </c>
      <c r="D159" s="757" t="s">
        <v>681</v>
      </c>
      <c r="E159" s="759" t="s">
        <v>496</v>
      </c>
      <c r="F159" s="759" t="s">
        <v>520</v>
      </c>
      <c r="G159" s="760">
        <v>20</v>
      </c>
      <c r="H159" s="761">
        <v>288.45</v>
      </c>
      <c r="I159" s="762">
        <f t="shared" si="4"/>
        <v>5769</v>
      </c>
      <c r="AP159" s="604"/>
      <c r="AQ159" s="604"/>
    </row>
    <row r="160" spans="1:43" s="507" customFormat="1">
      <c r="A160" s="757" t="s">
        <v>493</v>
      </c>
      <c r="B160" s="763">
        <v>20089</v>
      </c>
      <c r="C160" s="757" t="s">
        <v>494</v>
      </c>
      <c r="D160" s="757" t="s">
        <v>682</v>
      </c>
      <c r="E160" s="759" t="s">
        <v>496</v>
      </c>
      <c r="F160" s="759" t="s">
        <v>520</v>
      </c>
      <c r="G160" s="760">
        <v>20</v>
      </c>
      <c r="H160" s="761">
        <v>64.53</v>
      </c>
      <c r="I160" s="762">
        <f t="shared" si="4"/>
        <v>1290.5999999999999</v>
      </c>
      <c r="AP160" s="604"/>
      <c r="AQ160" s="604"/>
    </row>
    <row r="161" spans="1:44" s="507" customFormat="1">
      <c r="A161" s="757" t="s">
        <v>493</v>
      </c>
      <c r="B161" s="763">
        <v>11761</v>
      </c>
      <c r="C161" s="757" t="s">
        <v>494</v>
      </c>
      <c r="D161" s="757" t="s">
        <v>683</v>
      </c>
      <c r="E161" s="759" t="s">
        <v>496</v>
      </c>
      <c r="F161" s="759" t="s">
        <v>520</v>
      </c>
      <c r="G161" s="760">
        <v>50</v>
      </c>
      <c r="H161" s="761">
        <v>89.14</v>
      </c>
      <c r="I161" s="762">
        <f t="shared" si="4"/>
        <v>4457</v>
      </c>
      <c r="AP161" s="604"/>
      <c r="AQ161" s="604"/>
    </row>
    <row r="162" spans="1:44" s="507" customFormat="1" ht="24">
      <c r="A162" s="757" t="s">
        <v>493</v>
      </c>
      <c r="B162" s="763">
        <v>39887</v>
      </c>
      <c r="C162" s="757" t="s">
        <v>494</v>
      </c>
      <c r="D162" s="757" t="s">
        <v>672</v>
      </c>
      <c r="E162" s="759" t="s">
        <v>496</v>
      </c>
      <c r="F162" s="759" t="s">
        <v>520</v>
      </c>
      <c r="G162" s="760">
        <v>50</v>
      </c>
      <c r="H162" s="761">
        <v>8.82</v>
      </c>
      <c r="I162" s="762">
        <f t="shared" si="4"/>
        <v>441</v>
      </c>
      <c r="AP162" s="604"/>
      <c r="AQ162" s="604"/>
    </row>
    <row r="163" spans="1:44" s="507" customFormat="1" ht="24">
      <c r="A163" s="757" t="s">
        <v>493</v>
      </c>
      <c r="B163" s="763">
        <v>39891</v>
      </c>
      <c r="C163" s="757" t="s">
        <v>494</v>
      </c>
      <c r="D163" s="757" t="s">
        <v>684</v>
      </c>
      <c r="E163" s="759" t="s">
        <v>496</v>
      </c>
      <c r="F163" s="759" t="s">
        <v>520</v>
      </c>
      <c r="G163" s="760">
        <v>50</v>
      </c>
      <c r="H163" s="761">
        <v>48.55</v>
      </c>
      <c r="I163" s="762">
        <f t="shared" si="4"/>
        <v>2427.5</v>
      </c>
      <c r="AP163" s="604"/>
      <c r="AQ163" s="604"/>
    </row>
    <row r="164" spans="1:44" s="507" customFormat="1">
      <c r="A164" s="757" t="s">
        <v>493</v>
      </c>
      <c r="B164" s="763">
        <v>41931</v>
      </c>
      <c r="C164" s="757" t="s">
        <v>494</v>
      </c>
      <c r="D164" s="757" t="s">
        <v>685</v>
      </c>
      <c r="E164" s="759" t="s">
        <v>496</v>
      </c>
      <c r="F164" s="759" t="s">
        <v>547</v>
      </c>
      <c r="G164" s="760">
        <v>200</v>
      </c>
      <c r="H164" s="761">
        <v>214.53</v>
      </c>
      <c r="I164" s="762">
        <f t="shared" si="4"/>
        <v>42906</v>
      </c>
      <c r="AP164" s="604"/>
      <c r="AQ164" s="604"/>
    </row>
    <row r="165" spans="1:44" s="507" customFormat="1" ht="12.75">
      <c r="A165" s="757" t="s">
        <v>493</v>
      </c>
      <c r="B165" s="763">
        <v>484090</v>
      </c>
      <c r="C165" s="757" t="s">
        <v>686</v>
      </c>
      <c r="D165" s="766" t="s">
        <v>687</v>
      </c>
      <c r="E165" s="759" t="s">
        <v>496</v>
      </c>
      <c r="F165" s="759" t="s">
        <v>520</v>
      </c>
      <c r="G165" s="760">
        <v>100</v>
      </c>
      <c r="H165" s="761">
        <v>22.42</v>
      </c>
      <c r="I165" s="762">
        <f t="shared" si="4"/>
        <v>2242</v>
      </c>
      <c r="AP165" s="604"/>
      <c r="AQ165" s="604"/>
    </row>
    <row r="166" spans="1:44" s="507" customFormat="1" ht="12.75">
      <c r="A166" s="757" t="s">
        <v>493</v>
      </c>
      <c r="B166" s="763">
        <v>473219</v>
      </c>
      <c r="C166" s="757" t="s">
        <v>686</v>
      </c>
      <c r="D166" s="766" t="s">
        <v>688</v>
      </c>
      <c r="E166" s="759" t="s">
        <v>496</v>
      </c>
      <c r="F166" s="759" t="s">
        <v>520</v>
      </c>
      <c r="G166" s="760">
        <v>30</v>
      </c>
      <c r="H166" s="761">
        <v>28</v>
      </c>
      <c r="I166" s="762">
        <f t="shared" si="4"/>
        <v>840</v>
      </c>
      <c r="AP166" s="604"/>
      <c r="AQ166" s="604"/>
    </row>
    <row r="167" spans="1:44" s="507" customFormat="1" ht="12.75">
      <c r="A167" s="757" t="s">
        <v>493</v>
      </c>
      <c r="B167" s="763">
        <v>608094</v>
      </c>
      <c r="C167" s="757" t="s">
        <v>686</v>
      </c>
      <c r="D167" s="766" t="s">
        <v>689</v>
      </c>
      <c r="E167" s="759" t="s">
        <v>496</v>
      </c>
      <c r="F167" s="759" t="s">
        <v>520</v>
      </c>
      <c r="G167" s="760">
        <v>300</v>
      </c>
      <c r="H167" s="761">
        <v>36.840000000000003</v>
      </c>
      <c r="I167" s="762">
        <f t="shared" si="4"/>
        <v>11052.000000000002</v>
      </c>
      <c r="AP167" s="604"/>
      <c r="AQ167" s="604"/>
    </row>
    <row r="168" spans="1:44" s="507" customFormat="1">
      <c r="A168" s="757" t="s">
        <v>493</v>
      </c>
      <c r="B168" s="763">
        <v>41930</v>
      </c>
      <c r="C168" s="757" t="s">
        <v>494</v>
      </c>
      <c r="D168" s="757" t="s">
        <v>690</v>
      </c>
      <c r="E168" s="759" t="s">
        <v>496</v>
      </c>
      <c r="F168" s="759" t="s">
        <v>547</v>
      </c>
      <c r="G168" s="760">
        <v>200</v>
      </c>
      <c r="H168" s="761">
        <v>136.97</v>
      </c>
      <c r="I168" s="762">
        <f t="shared" si="4"/>
        <v>27394</v>
      </c>
      <c r="AP168" s="604"/>
      <c r="AQ168" s="604"/>
    </row>
    <row r="169" spans="1:44" s="507" customFormat="1" ht="24">
      <c r="A169" s="757" t="s">
        <v>531</v>
      </c>
      <c r="B169" s="763" t="s">
        <v>691</v>
      </c>
      <c r="C169" s="757" t="s">
        <v>515</v>
      </c>
      <c r="D169" s="757" t="s">
        <v>692</v>
      </c>
      <c r="E169" s="759" t="s">
        <v>496</v>
      </c>
      <c r="F169" s="759" t="s">
        <v>693</v>
      </c>
      <c r="G169" s="760">
        <v>600</v>
      </c>
      <c r="H169" s="761">
        <v>58.19</v>
      </c>
      <c r="I169" s="762">
        <f t="shared" si="4"/>
        <v>34914</v>
      </c>
      <c r="AQ169" s="604"/>
      <c r="AR169" s="604"/>
    </row>
    <row r="170" spans="1:44" ht="39" customHeight="1" thickBot="1">
      <c r="A170" s="765">
        <v>6</v>
      </c>
      <c r="B170" s="868" t="s">
        <v>694</v>
      </c>
      <c r="C170" s="868"/>
      <c r="D170" s="868"/>
      <c r="E170" s="868"/>
      <c r="F170" s="868"/>
      <c r="G170" s="868"/>
      <c r="H170" s="868"/>
      <c r="I170" s="868"/>
    </row>
    <row r="171" spans="1:44" ht="48" thickBot="1">
      <c r="A171" s="754"/>
      <c r="B171" s="755" t="s">
        <v>486</v>
      </c>
      <c r="C171" s="755" t="s">
        <v>487</v>
      </c>
      <c r="D171" s="755" t="s">
        <v>488</v>
      </c>
      <c r="E171" s="755" t="s">
        <v>489</v>
      </c>
      <c r="F171" s="755" t="s">
        <v>490</v>
      </c>
      <c r="G171" s="755" t="s">
        <v>491</v>
      </c>
      <c r="H171" s="756" t="s">
        <v>316</v>
      </c>
      <c r="I171" s="755" t="s">
        <v>492</v>
      </c>
    </row>
    <row r="172" spans="1:44" s="507" customFormat="1">
      <c r="A172" s="757" t="s">
        <v>493</v>
      </c>
      <c r="B172" s="763" t="s">
        <v>695</v>
      </c>
      <c r="C172" s="757" t="s">
        <v>686</v>
      </c>
      <c r="D172" s="757" t="s">
        <v>696</v>
      </c>
      <c r="E172" s="759" t="s">
        <v>496</v>
      </c>
      <c r="F172" s="759" t="s">
        <v>520</v>
      </c>
      <c r="G172" s="760">
        <v>318</v>
      </c>
      <c r="H172" s="761">
        <v>50</v>
      </c>
      <c r="I172" s="762">
        <f t="shared" ref="I172:I181" si="5">H172*G172</f>
        <v>15900</v>
      </c>
      <c r="AQ172" s="604"/>
      <c r="AR172" s="604"/>
    </row>
    <row r="173" spans="1:44" s="507" customFormat="1">
      <c r="A173" s="757" t="s">
        <v>493</v>
      </c>
      <c r="B173" s="763" t="s">
        <v>697</v>
      </c>
      <c r="C173" s="757" t="s">
        <v>686</v>
      </c>
      <c r="D173" s="757" t="s">
        <v>698</v>
      </c>
      <c r="E173" s="759" t="s">
        <v>496</v>
      </c>
      <c r="F173" s="759" t="s">
        <v>520</v>
      </c>
      <c r="G173" s="760">
        <v>29</v>
      </c>
      <c r="H173" s="761">
        <v>54</v>
      </c>
      <c r="I173" s="762">
        <f t="shared" si="5"/>
        <v>1566</v>
      </c>
      <c r="AQ173" s="604"/>
      <c r="AR173" s="604"/>
    </row>
    <row r="174" spans="1:44" s="507" customFormat="1">
      <c r="A174" s="757" t="s">
        <v>493</v>
      </c>
      <c r="B174" s="763" t="s">
        <v>699</v>
      </c>
      <c r="C174" s="757" t="s">
        <v>686</v>
      </c>
      <c r="D174" s="757" t="s">
        <v>700</v>
      </c>
      <c r="E174" s="759" t="s">
        <v>496</v>
      </c>
      <c r="F174" s="759" t="s">
        <v>520</v>
      </c>
      <c r="G174" s="760">
        <v>2</v>
      </c>
      <c r="H174" s="761">
        <v>55</v>
      </c>
      <c r="I174" s="762">
        <f t="shared" si="5"/>
        <v>110</v>
      </c>
      <c r="AQ174" s="604"/>
      <c r="AR174" s="604"/>
    </row>
    <row r="175" spans="1:44" s="507" customFormat="1">
      <c r="A175" s="757" t="s">
        <v>493</v>
      </c>
      <c r="B175" s="763" t="s">
        <v>701</v>
      </c>
      <c r="C175" s="757" t="s">
        <v>686</v>
      </c>
      <c r="D175" s="757" t="s">
        <v>702</v>
      </c>
      <c r="E175" s="759" t="s">
        <v>496</v>
      </c>
      <c r="F175" s="759" t="s">
        <v>520</v>
      </c>
      <c r="G175" s="760">
        <v>1</v>
      </c>
      <c r="H175" s="761">
        <v>71</v>
      </c>
      <c r="I175" s="762">
        <f t="shared" si="5"/>
        <v>71</v>
      </c>
      <c r="AQ175" s="604"/>
      <c r="AR175" s="604"/>
    </row>
    <row r="176" spans="1:44" s="507" customFormat="1">
      <c r="A176" s="757" t="s">
        <v>493</v>
      </c>
      <c r="B176" s="763" t="s">
        <v>703</v>
      </c>
      <c r="C176" s="757" t="s">
        <v>686</v>
      </c>
      <c r="D176" s="757" t="s">
        <v>704</v>
      </c>
      <c r="E176" s="759" t="s">
        <v>496</v>
      </c>
      <c r="F176" s="759" t="s">
        <v>520</v>
      </c>
      <c r="G176" s="760">
        <v>1</v>
      </c>
      <c r="H176" s="761">
        <v>597.84</v>
      </c>
      <c r="I176" s="762">
        <f t="shared" si="5"/>
        <v>597.84</v>
      </c>
      <c r="AQ176" s="604"/>
      <c r="AR176" s="604"/>
    </row>
    <row r="177" spans="1:44" s="507" customFormat="1">
      <c r="A177" s="757" t="s">
        <v>493</v>
      </c>
      <c r="B177" s="763" t="s">
        <v>705</v>
      </c>
      <c r="C177" s="757" t="s">
        <v>686</v>
      </c>
      <c r="D177" s="757" t="s">
        <v>706</v>
      </c>
      <c r="E177" s="759" t="s">
        <v>496</v>
      </c>
      <c r="F177" s="759" t="s">
        <v>520</v>
      </c>
      <c r="G177" s="760">
        <v>6</v>
      </c>
      <c r="H177" s="761">
        <v>59.3</v>
      </c>
      <c r="I177" s="762">
        <f t="shared" si="5"/>
        <v>355.79999999999995</v>
      </c>
      <c r="AQ177" s="604"/>
      <c r="AR177" s="604"/>
    </row>
    <row r="178" spans="1:44" s="507" customFormat="1">
      <c r="A178" s="757" t="s">
        <v>493</v>
      </c>
      <c r="B178" s="763" t="s">
        <v>707</v>
      </c>
      <c r="C178" s="757" t="s">
        <v>686</v>
      </c>
      <c r="D178" s="757" t="s">
        <v>708</v>
      </c>
      <c r="E178" s="759" t="s">
        <v>496</v>
      </c>
      <c r="F178" s="759" t="s">
        <v>520</v>
      </c>
      <c r="G178" s="760">
        <v>86</v>
      </c>
      <c r="H178" s="761">
        <v>80</v>
      </c>
      <c r="I178" s="762">
        <f t="shared" si="5"/>
        <v>6880</v>
      </c>
      <c r="AQ178" s="604"/>
      <c r="AR178" s="604"/>
    </row>
    <row r="179" spans="1:44" s="507" customFormat="1">
      <c r="A179" s="757" t="s">
        <v>493</v>
      </c>
      <c r="B179" s="763" t="s">
        <v>709</v>
      </c>
      <c r="C179" s="757" t="s">
        <v>686</v>
      </c>
      <c r="D179" s="757" t="s">
        <v>710</v>
      </c>
      <c r="E179" s="759" t="s">
        <v>496</v>
      </c>
      <c r="F179" s="759" t="s">
        <v>520</v>
      </c>
      <c r="G179" s="760">
        <v>3</v>
      </c>
      <c r="H179" s="761">
        <v>131</v>
      </c>
      <c r="I179" s="762">
        <f t="shared" si="5"/>
        <v>393</v>
      </c>
      <c r="AQ179" s="604"/>
      <c r="AR179" s="604"/>
    </row>
    <row r="180" spans="1:44" s="507" customFormat="1">
      <c r="A180" s="757" t="s">
        <v>493</v>
      </c>
      <c r="B180" s="763" t="s">
        <v>711</v>
      </c>
      <c r="C180" s="757" t="s">
        <v>686</v>
      </c>
      <c r="D180" s="757" t="s">
        <v>712</v>
      </c>
      <c r="E180" s="759" t="s">
        <v>496</v>
      </c>
      <c r="F180" s="759" t="s">
        <v>520</v>
      </c>
      <c r="G180" s="760">
        <v>8</v>
      </c>
      <c r="H180" s="761">
        <v>240</v>
      </c>
      <c r="I180" s="762">
        <f t="shared" si="5"/>
        <v>1920</v>
      </c>
      <c r="AQ180" s="604"/>
      <c r="AR180" s="604"/>
    </row>
    <row r="181" spans="1:44" s="507" customFormat="1">
      <c r="A181" s="757" t="s">
        <v>493</v>
      </c>
      <c r="B181" s="763" t="s">
        <v>713</v>
      </c>
      <c r="C181" s="757" t="s">
        <v>686</v>
      </c>
      <c r="D181" s="757" t="s">
        <v>714</v>
      </c>
      <c r="E181" s="759" t="s">
        <v>496</v>
      </c>
      <c r="F181" s="759" t="s">
        <v>520</v>
      </c>
      <c r="G181" s="760">
        <v>254</v>
      </c>
      <c r="H181" s="761">
        <v>34.24</v>
      </c>
      <c r="I181" s="762">
        <f t="shared" si="5"/>
        <v>8696.9600000000009</v>
      </c>
      <c r="AQ181" s="604"/>
      <c r="AR181" s="604"/>
    </row>
    <row r="182" spans="1:44" ht="39" customHeight="1" thickBot="1">
      <c r="A182" s="765">
        <v>7</v>
      </c>
      <c r="B182" s="868" t="s">
        <v>715</v>
      </c>
      <c r="C182" s="868"/>
      <c r="D182" s="868"/>
      <c r="E182" s="868"/>
      <c r="F182" s="868"/>
      <c r="G182" s="868"/>
      <c r="H182" s="868"/>
      <c r="I182" s="868"/>
    </row>
    <row r="183" spans="1:44" ht="48" thickBot="1">
      <c r="A183" s="754"/>
      <c r="B183" s="755" t="s">
        <v>486</v>
      </c>
      <c r="C183" s="755" t="s">
        <v>487</v>
      </c>
      <c r="D183" s="755" t="s">
        <v>488</v>
      </c>
      <c r="E183" s="755" t="s">
        <v>489</v>
      </c>
      <c r="F183" s="755" t="s">
        <v>490</v>
      </c>
      <c r="G183" s="755" t="s">
        <v>491</v>
      </c>
      <c r="H183" s="756" t="s">
        <v>316</v>
      </c>
      <c r="I183" s="755" t="s">
        <v>492</v>
      </c>
    </row>
    <row r="184" spans="1:44" s="507" customFormat="1">
      <c r="A184" s="757" t="s">
        <v>493</v>
      </c>
      <c r="B184" s="763" t="s">
        <v>716</v>
      </c>
      <c r="C184" s="757" t="s">
        <v>686</v>
      </c>
      <c r="D184" s="757" t="s">
        <v>717</v>
      </c>
      <c r="E184" s="759" t="s">
        <v>496</v>
      </c>
      <c r="F184" s="759" t="s">
        <v>520</v>
      </c>
      <c r="G184" s="760">
        <v>100</v>
      </c>
      <c r="H184" s="761">
        <v>132.5</v>
      </c>
      <c r="I184" s="762">
        <f t="shared" ref="I184:I191" si="6">G184*H184</f>
        <v>13250</v>
      </c>
      <c r="AQ184" s="604"/>
      <c r="AR184" s="604"/>
    </row>
    <row r="185" spans="1:44" s="507" customFormat="1">
      <c r="A185" s="757" t="s">
        <v>493</v>
      </c>
      <c r="B185" s="763" t="s">
        <v>718</v>
      </c>
      <c r="C185" s="757" t="s">
        <v>686</v>
      </c>
      <c r="D185" s="757" t="s">
        <v>719</v>
      </c>
      <c r="E185" s="759" t="s">
        <v>496</v>
      </c>
      <c r="F185" s="759" t="s">
        <v>520</v>
      </c>
      <c r="G185" s="760">
        <v>100</v>
      </c>
      <c r="H185" s="761">
        <v>850</v>
      </c>
      <c r="I185" s="762">
        <f t="shared" si="6"/>
        <v>85000</v>
      </c>
      <c r="AQ185" s="604"/>
      <c r="AR185" s="604"/>
    </row>
    <row r="186" spans="1:44" s="507" customFormat="1">
      <c r="A186" s="757" t="s">
        <v>493</v>
      </c>
      <c r="B186" s="763" t="s">
        <v>720</v>
      </c>
      <c r="C186" s="757" t="s">
        <v>686</v>
      </c>
      <c r="D186" s="757" t="s">
        <v>721</v>
      </c>
      <c r="E186" s="759" t="s">
        <v>496</v>
      </c>
      <c r="F186" s="759" t="s">
        <v>520</v>
      </c>
      <c r="G186" s="760">
        <v>100</v>
      </c>
      <c r="H186" s="761">
        <v>224</v>
      </c>
      <c r="I186" s="762">
        <f t="shared" si="6"/>
        <v>22400</v>
      </c>
      <c r="AQ186" s="604"/>
      <c r="AR186" s="604"/>
    </row>
    <row r="187" spans="1:44" s="507" customFormat="1">
      <c r="A187" s="757" t="s">
        <v>493</v>
      </c>
      <c r="B187" s="763" t="s">
        <v>722</v>
      </c>
      <c r="C187" s="757" t="s">
        <v>686</v>
      </c>
      <c r="D187" s="757" t="s">
        <v>723</v>
      </c>
      <c r="E187" s="759" t="s">
        <v>496</v>
      </c>
      <c r="F187" s="759" t="s">
        <v>520</v>
      </c>
      <c r="G187" s="760">
        <v>100</v>
      </c>
      <c r="H187" s="761">
        <v>458.38</v>
      </c>
      <c r="I187" s="762">
        <f t="shared" si="6"/>
        <v>45838</v>
      </c>
      <c r="AQ187" s="604"/>
      <c r="AR187" s="604"/>
    </row>
    <row r="188" spans="1:44" s="507" customFormat="1">
      <c r="A188" s="757" t="s">
        <v>493</v>
      </c>
      <c r="B188" s="763" t="s">
        <v>724</v>
      </c>
      <c r="C188" s="757" t="s">
        <v>686</v>
      </c>
      <c r="D188" s="757" t="s">
        <v>725</v>
      </c>
      <c r="E188" s="759" t="s">
        <v>496</v>
      </c>
      <c r="F188" s="759" t="s">
        <v>520</v>
      </c>
      <c r="G188" s="760">
        <v>100</v>
      </c>
      <c r="H188" s="761">
        <v>233.99</v>
      </c>
      <c r="I188" s="762">
        <f t="shared" si="6"/>
        <v>23399</v>
      </c>
      <c r="AQ188" s="604"/>
      <c r="AR188" s="604"/>
    </row>
    <row r="189" spans="1:44" s="507" customFormat="1">
      <c r="A189" s="757" t="s">
        <v>493</v>
      </c>
      <c r="B189" s="763" t="s">
        <v>726</v>
      </c>
      <c r="C189" s="757" t="s">
        <v>686</v>
      </c>
      <c r="D189" s="757" t="s">
        <v>727</v>
      </c>
      <c r="E189" s="759" t="s">
        <v>496</v>
      </c>
      <c r="F189" s="759" t="s">
        <v>520</v>
      </c>
      <c r="G189" s="760">
        <v>100</v>
      </c>
      <c r="H189" s="761">
        <v>320</v>
      </c>
      <c r="I189" s="762">
        <f t="shared" si="6"/>
        <v>32000</v>
      </c>
      <c r="AQ189" s="604"/>
      <c r="AR189" s="604"/>
    </row>
    <row r="190" spans="1:44" s="507" customFormat="1">
      <c r="A190" s="757" t="s">
        <v>493</v>
      </c>
      <c r="B190" s="763" t="s">
        <v>728</v>
      </c>
      <c r="C190" s="757" t="s">
        <v>686</v>
      </c>
      <c r="D190" s="757" t="s">
        <v>729</v>
      </c>
      <c r="E190" s="759" t="s">
        <v>496</v>
      </c>
      <c r="F190" s="759" t="s">
        <v>520</v>
      </c>
      <c r="G190" s="760">
        <v>100</v>
      </c>
      <c r="H190" s="761">
        <v>470</v>
      </c>
      <c r="I190" s="762">
        <f t="shared" si="6"/>
        <v>47000</v>
      </c>
      <c r="AQ190" s="604"/>
      <c r="AR190" s="604"/>
    </row>
    <row r="191" spans="1:44" s="507" customFormat="1">
      <c r="A191" s="757" t="s">
        <v>493</v>
      </c>
      <c r="B191" s="763" t="s">
        <v>730</v>
      </c>
      <c r="C191" s="757" t="s">
        <v>686</v>
      </c>
      <c r="D191" s="757" t="s">
        <v>731</v>
      </c>
      <c r="E191" s="759" t="s">
        <v>496</v>
      </c>
      <c r="F191" s="759" t="s">
        <v>520</v>
      </c>
      <c r="G191" s="760">
        <v>100</v>
      </c>
      <c r="H191" s="761">
        <v>319.5</v>
      </c>
      <c r="I191" s="762">
        <f t="shared" si="6"/>
        <v>31950</v>
      </c>
      <c r="AQ191" s="604"/>
      <c r="AR191" s="604"/>
    </row>
    <row r="192" spans="1:44" s="507" customFormat="1">
      <c r="A192" s="757" t="s">
        <v>493</v>
      </c>
      <c r="B192" s="763" t="s">
        <v>732</v>
      </c>
      <c r="C192" s="757" t="s">
        <v>686</v>
      </c>
      <c r="D192" s="757" t="s">
        <v>733</v>
      </c>
      <c r="E192" s="759" t="s">
        <v>496</v>
      </c>
      <c r="F192" s="759" t="s">
        <v>520</v>
      </c>
      <c r="G192" s="760">
        <v>100</v>
      </c>
      <c r="H192" s="761">
        <v>63</v>
      </c>
      <c r="I192" s="762">
        <f t="shared" ref="I192:I197" si="7">G192*H192</f>
        <v>6300</v>
      </c>
      <c r="AQ192" s="604"/>
      <c r="AR192" s="604"/>
    </row>
    <row r="193" spans="1:63" s="507" customFormat="1">
      <c r="A193" s="757" t="s">
        <v>493</v>
      </c>
      <c r="B193" s="763" t="s">
        <v>734</v>
      </c>
      <c r="C193" s="757" t="s">
        <v>686</v>
      </c>
      <c r="D193" s="757" t="s">
        <v>735</v>
      </c>
      <c r="E193" s="759" t="s">
        <v>496</v>
      </c>
      <c r="F193" s="759" t="s">
        <v>520</v>
      </c>
      <c r="G193" s="760">
        <v>100</v>
      </c>
      <c r="H193" s="761">
        <v>60</v>
      </c>
      <c r="I193" s="762">
        <f t="shared" si="7"/>
        <v>6000</v>
      </c>
      <c r="AQ193" s="604"/>
      <c r="AR193" s="604"/>
    </row>
    <row r="194" spans="1:63" s="507" customFormat="1">
      <c r="A194" s="757" t="s">
        <v>493</v>
      </c>
      <c r="B194" s="763" t="s">
        <v>736</v>
      </c>
      <c r="C194" s="757" t="s">
        <v>686</v>
      </c>
      <c r="D194" s="757" t="s">
        <v>737</v>
      </c>
      <c r="E194" s="759" t="s">
        <v>496</v>
      </c>
      <c r="F194" s="759" t="s">
        <v>520</v>
      </c>
      <c r="G194" s="760">
        <v>100</v>
      </c>
      <c r="H194" s="761">
        <v>26.63</v>
      </c>
      <c r="I194" s="762">
        <f t="shared" si="7"/>
        <v>2663</v>
      </c>
      <c r="AQ194" s="604"/>
      <c r="AR194" s="604"/>
    </row>
    <row r="195" spans="1:63" s="507" customFormat="1">
      <c r="A195" s="757" t="s">
        <v>493</v>
      </c>
      <c r="B195" s="763" t="s">
        <v>738</v>
      </c>
      <c r="C195" s="757" t="s">
        <v>686</v>
      </c>
      <c r="D195" s="757" t="s">
        <v>739</v>
      </c>
      <c r="E195" s="759" t="s">
        <v>496</v>
      </c>
      <c r="F195" s="759" t="s">
        <v>520</v>
      </c>
      <c r="G195" s="760">
        <v>100</v>
      </c>
      <c r="H195" s="761">
        <v>130.99</v>
      </c>
      <c r="I195" s="762">
        <f t="shared" si="7"/>
        <v>13099</v>
      </c>
      <c r="AQ195" s="604"/>
      <c r="AR195" s="604"/>
    </row>
    <row r="196" spans="1:63" s="507" customFormat="1">
      <c r="A196" s="757" t="s">
        <v>493</v>
      </c>
      <c r="B196" s="763" t="s">
        <v>740</v>
      </c>
      <c r="C196" s="757" t="s">
        <v>686</v>
      </c>
      <c r="D196" s="757" t="s">
        <v>741</v>
      </c>
      <c r="E196" s="759" t="s">
        <v>496</v>
      </c>
      <c r="F196" s="759" t="s">
        <v>520</v>
      </c>
      <c r="G196" s="760">
        <v>100</v>
      </c>
      <c r="H196" s="761">
        <v>35.67</v>
      </c>
      <c r="I196" s="762">
        <f t="shared" si="7"/>
        <v>3567</v>
      </c>
      <c r="AQ196" s="604"/>
      <c r="AR196" s="604"/>
    </row>
    <row r="197" spans="1:63" s="507" customFormat="1">
      <c r="A197" s="757" t="s">
        <v>493</v>
      </c>
      <c r="B197" s="763">
        <v>613141</v>
      </c>
      <c r="C197" s="757" t="s">
        <v>686</v>
      </c>
      <c r="D197" s="767" t="s">
        <v>742</v>
      </c>
      <c r="E197" s="759" t="s">
        <v>496</v>
      </c>
      <c r="F197" s="759" t="s">
        <v>520</v>
      </c>
      <c r="G197" s="760">
        <v>100</v>
      </c>
      <c r="H197" s="761">
        <v>347.5</v>
      </c>
      <c r="I197" s="762">
        <f t="shared" si="7"/>
        <v>34750</v>
      </c>
      <c r="AP197" s="604"/>
      <c r="AQ197" s="604"/>
    </row>
    <row r="198" spans="1:63" ht="12" customHeight="1">
      <c r="A198" s="864" t="s">
        <v>743</v>
      </c>
      <c r="B198" s="864"/>
      <c r="C198" s="864"/>
      <c r="D198" s="864"/>
      <c r="E198" s="864"/>
      <c r="F198" s="864"/>
      <c r="G198" s="864"/>
      <c r="H198" s="864"/>
      <c r="I198" s="768">
        <f>SUM(I2:I197)</f>
        <v>1090136.2599999998</v>
      </c>
      <c r="K198" s="582"/>
    </row>
    <row r="199" spans="1:63" s="506" customFormat="1">
      <c r="A199" s="865" t="s">
        <v>744</v>
      </c>
      <c r="B199" s="866"/>
      <c r="C199" s="866"/>
      <c r="D199" s="867"/>
      <c r="E199" s="867"/>
      <c r="F199" s="867"/>
      <c r="G199" s="867"/>
      <c r="H199" s="867"/>
      <c r="I199" s="1427">
        <f>BDI!I13</f>
        <v>0.15279999999999999</v>
      </c>
      <c r="J199" s="508"/>
      <c r="K199" s="508"/>
      <c r="W199" s="508"/>
      <c r="X199" s="508"/>
      <c r="AQ199" s="508"/>
      <c r="AR199" s="508"/>
      <c r="AS199" s="508"/>
      <c r="AW199" s="508"/>
      <c r="AX199" s="508"/>
      <c r="BJ199" s="508"/>
      <c r="BK199" s="508"/>
    </row>
    <row r="200" spans="1:63" s="506" customFormat="1">
      <c r="A200" s="865" t="s">
        <v>745</v>
      </c>
      <c r="B200" s="866"/>
      <c r="C200" s="866"/>
      <c r="D200" s="867"/>
      <c r="E200" s="867"/>
      <c r="F200" s="867"/>
      <c r="G200" s="867"/>
      <c r="H200" s="867"/>
      <c r="I200" s="769">
        <f>ROUND(I198*(1+I199),2)</f>
        <v>1256709.08</v>
      </c>
      <c r="J200" s="508"/>
      <c r="K200" s="508"/>
      <c r="W200" s="508"/>
      <c r="X200" s="508"/>
      <c r="AQ200" s="508"/>
      <c r="AR200" s="508"/>
      <c r="AS200" s="508"/>
      <c r="AW200" s="508"/>
      <c r="AX200" s="508"/>
      <c r="BJ200" s="508"/>
      <c r="BK200" s="508"/>
    </row>
    <row r="201" spans="1:63" s="506" customFormat="1" ht="12.75" thickBot="1">
      <c r="A201" s="861" t="s">
        <v>746</v>
      </c>
      <c r="B201" s="862"/>
      <c r="C201" s="862"/>
      <c r="D201" s="863"/>
      <c r="E201" s="863"/>
      <c r="F201" s="863"/>
      <c r="G201" s="863"/>
      <c r="H201" s="863"/>
      <c r="I201" s="769">
        <f>ROUND(I200/12,2)</f>
        <v>104725.75999999999</v>
      </c>
      <c r="J201" s="508"/>
      <c r="K201" s="508"/>
      <c r="W201" s="508"/>
      <c r="X201" s="508"/>
      <c r="AQ201" s="508"/>
      <c r="AR201" s="508"/>
      <c r="AS201" s="508"/>
      <c r="AW201" s="508"/>
      <c r="AX201" s="508"/>
      <c r="BJ201" s="508"/>
      <c r="BK201" s="508"/>
    </row>
  </sheetData>
  <mergeCells count="14">
    <mergeCell ref="B1:I1"/>
    <mergeCell ref="B99:I99"/>
    <mergeCell ref="A2:I2"/>
    <mergeCell ref="A3:I3"/>
    <mergeCell ref="B4:I4"/>
    <mergeCell ref="B27:I27"/>
    <mergeCell ref="B66:I66"/>
    <mergeCell ref="A201:H201"/>
    <mergeCell ref="A198:H198"/>
    <mergeCell ref="A199:H199"/>
    <mergeCell ref="A200:H200"/>
    <mergeCell ref="B103:I103"/>
    <mergeCell ref="B170:I170"/>
    <mergeCell ref="B182:I182"/>
  </mergeCells>
  <hyperlinks>
    <hyperlink ref="B19" r:id="rId1" tooltip="Exibir Composição Analítica" display="https://app.orcafascio.com/v2023/orc/orcamentos/672df8355d8b4917be33cdbc/compositions/44acb3c6-02b6-40fb-b2e8-3d8333e22add" xr:uid="{0F95B711-420F-462F-A164-A7DE9C6BBCE7}"/>
  </hyperlinks>
  <pageMargins left="0.511811024" right="0.511811024" top="0.78740157499999996" bottom="0.78740157499999996" header="0.31496062000000002" footer="0.31496062000000002"/>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BK25"/>
  <sheetViews>
    <sheetView showGridLines="0" zoomScaleNormal="100" zoomScaleSheetLayoutView="50" workbookViewId="0">
      <selection activeCell="M10" sqref="M10"/>
    </sheetView>
  </sheetViews>
  <sheetFormatPr defaultColWidth="7.625" defaultRowHeight="12"/>
  <cols>
    <col min="1" max="1" width="7.75" style="1373" bestFit="1" customWidth="1"/>
    <col min="2" max="2" width="7.625" style="1373" customWidth="1"/>
    <col min="3" max="3" width="13" style="1373" bestFit="1" customWidth="1"/>
    <col min="4" max="4" width="65" style="1373" customWidth="1"/>
    <col min="5" max="5" width="5.875" style="1372" customWidth="1"/>
    <col min="6" max="6" width="7.625" style="1372" customWidth="1"/>
    <col min="7" max="7" width="11.875" style="1372" customWidth="1"/>
    <col min="8" max="8" width="12" style="1372" bestFit="1" customWidth="1"/>
    <col min="9" max="9" width="15.75" style="1373" customWidth="1"/>
    <col min="10" max="10" width="9" style="1372" bestFit="1" customWidth="1"/>
    <col min="11" max="11" width="7.625" style="1372"/>
    <col min="12" max="12" width="7.625" style="1373"/>
    <col min="13" max="13" width="9.875" style="1373" bestFit="1" customWidth="1"/>
    <col min="14" max="14" width="8.625" style="1373" bestFit="1" customWidth="1"/>
    <col min="15" max="22" width="7.625" style="1373"/>
    <col min="23" max="24" width="7.625" style="1372"/>
    <col min="25" max="42" width="7.625" style="1373"/>
    <col min="43" max="45" width="7.625" style="1372"/>
    <col min="46" max="48" width="7.625" style="1373"/>
    <col min="49" max="50" width="7.625" style="1372"/>
    <col min="51" max="61" width="7.625" style="1373"/>
    <col min="62" max="63" width="7.625" style="1372"/>
    <col min="64" max="16384" width="7.625" style="1373"/>
  </cols>
  <sheetData>
    <row r="1" spans="1:63" s="1184" customFormat="1" ht="50.25" customHeight="1">
      <c r="A1" s="1182"/>
      <c r="B1" s="1370" t="s">
        <v>243</v>
      </c>
      <c r="C1" s="1370"/>
      <c r="D1" s="1370"/>
      <c r="E1" s="1370"/>
      <c r="F1" s="1370"/>
      <c r="G1" s="1370"/>
      <c r="H1" s="1370"/>
      <c r="I1" s="1370"/>
      <c r="J1" s="1306"/>
      <c r="K1" s="1306"/>
    </row>
    <row r="2" spans="1:63" ht="26.25">
      <c r="A2" s="1371" t="s">
        <v>2</v>
      </c>
      <c r="B2" s="1371"/>
      <c r="C2" s="1371"/>
      <c r="D2" s="1371"/>
      <c r="E2" s="1371"/>
      <c r="F2" s="1371"/>
      <c r="G2" s="1371"/>
      <c r="H2" s="1371"/>
      <c r="I2" s="1371"/>
    </row>
    <row r="3" spans="1:63" s="1310" customFormat="1" ht="43.5" customHeight="1">
      <c r="A3" s="1308" t="s">
        <v>282</v>
      </c>
      <c r="B3" s="1309"/>
      <c r="C3" s="1309"/>
      <c r="D3" s="1309"/>
      <c r="E3" s="1309"/>
      <c r="F3" s="1309"/>
      <c r="G3" s="1309"/>
      <c r="H3" s="1309"/>
      <c r="I3" s="1309"/>
    </row>
    <row r="4" spans="1:63" s="1379" customFormat="1" ht="15.75">
      <c r="A4" s="1374" t="s">
        <v>747</v>
      </c>
      <c r="B4" s="1375"/>
      <c r="C4" s="1375"/>
      <c r="D4" s="1376"/>
      <c r="E4" s="1376"/>
      <c r="F4" s="1376"/>
      <c r="G4" s="1376"/>
      <c r="H4" s="1376"/>
      <c r="I4" s="1377"/>
      <c r="J4" s="1378"/>
      <c r="K4" s="1378"/>
      <c r="W4" s="1378"/>
      <c r="X4" s="1378"/>
      <c r="AQ4" s="1378"/>
      <c r="AR4" s="1378"/>
      <c r="AS4" s="1378"/>
      <c r="AW4" s="1378"/>
      <c r="AX4" s="1378"/>
      <c r="BJ4" s="1378"/>
      <c r="BK4" s="1378"/>
    </row>
    <row r="5" spans="1:63" s="1385" customFormat="1" ht="13.5" thickBot="1">
      <c r="A5" s="1380" t="s">
        <v>748</v>
      </c>
      <c r="B5" s="1381"/>
      <c r="C5" s="1381"/>
      <c r="D5" s="1382"/>
      <c r="E5" s="1382"/>
      <c r="F5" s="1382"/>
      <c r="G5" s="1382"/>
      <c r="H5" s="1382"/>
      <c r="I5" s="1383"/>
      <c r="J5" s="1384"/>
      <c r="K5" s="1384"/>
      <c r="W5" s="1384"/>
      <c r="X5" s="1384"/>
      <c r="AQ5" s="1384"/>
      <c r="AR5" s="1384"/>
      <c r="AS5" s="1384"/>
      <c r="AW5" s="1384"/>
      <c r="AX5" s="1384"/>
      <c r="BJ5" s="1384"/>
      <c r="BK5" s="1384"/>
    </row>
    <row r="6" spans="1:63" s="1385" customFormat="1" ht="38.25">
      <c r="A6" s="1386" t="s">
        <v>249</v>
      </c>
      <c r="B6" s="1387" t="s">
        <v>527</v>
      </c>
      <c r="C6" s="1387" t="s">
        <v>749</v>
      </c>
      <c r="D6" s="1388" t="s">
        <v>750</v>
      </c>
      <c r="E6" s="1389" t="s">
        <v>751</v>
      </c>
      <c r="F6" s="1390" t="s">
        <v>752</v>
      </c>
      <c r="G6" s="1390" t="s">
        <v>753</v>
      </c>
      <c r="H6" s="1391" t="s">
        <v>754</v>
      </c>
      <c r="I6" s="1392" t="s">
        <v>755</v>
      </c>
      <c r="J6" s="1384"/>
      <c r="K6" s="1384"/>
      <c r="W6" s="1384"/>
      <c r="X6" s="1384"/>
      <c r="AQ6" s="1384"/>
      <c r="AR6" s="1384"/>
      <c r="AS6" s="1384"/>
      <c r="AW6" s="1384"/>
      <c r="AX6" s="1384"/>
      <c r="BJ6" s="1384"/>
      <c r="BK6" s="1384"/>
    </row>
    <row r="7" spans="1:63" s="1385" customFormat="1" ht="12.75">
      <c r="A7" s="1393">
        <v>1</v>
      </c>
      <c r="B7" s="1394">
        <v>4750</v>
      </c>
      <c r="C7" s="1394" t="s">
        <v>756</v>
      </c>
      <c r="D7" s="1395" t="s">
        <v>757</v>
      </c>
      <c r="E7" s="1396" t="s">
        <v>758</v>
      </c>
      <c r="F7" s="1425">
        <v>21.23</v>
      </c>
      <c r="G7" s="1397">
        <v>1320</v>
      </c>
      <c r="H7" s="1398">
        <f t="shared" ref="H7:H21" si="0">(F7)*G7</f>
        <v>28023.600000000002</v>
      </c>
      <c r="I7" s="1399">
        <f t="shared" ref="I7:I21" si="1">SUM(H7:H7)</f>
        <v>28023.600000000002</v>
      </c>
      <c r="J7" s="1384"/>
      <c r="K7" s="1400"/>
      <c r="L7" s="1401"/>
      <c r="W7" s="1384"/>
      <c r="X7" s="1384"/>
      <c r="AQ7" s="1384"/>
      <c r="AR7" s="1384"/>
      <c r="AS7" s="1384"/>
      <c r="AW7" s="1384"/>
      <c r="AX7" s="1384"/>
      <c r="BJ7" s="1384"/>
      <c r="BK7" s="1384"/>
    </row>
    <row r="8" spans="1:63" s="1385" customFormat="1" ht="12.75">
      <c r="A8" s="1393">
        <v>2</v>
      </c>
      <c r="B8" s="1394">
        <v>12872</v>
      </c>
      <c r="C8" s="1394" t="s">
        <v>759</v>
      </c>
      <c r="D8" s="1395" t="s">
        <v>760</v>
      </c>
      <c r="E8" s="1396" t="s">
        <v>758</v>
      </c>
      <c r="F8" s="1425">
        <v>21.23</v>
      </c>
      <c r="G8" s="1397">
        <v>1320</v>
      </c>
      <c r="H8" s="1398">
        <f>(F8)*G8</f>
        <v>28023.600000000002</v>
      </c>
      <c r="I8" s="1399">
        <f t="shared" si="1"/>
        <v>28023.600000000002</v>
      </c>
      <c r="J8" s="1384"/>
      <c r="K8" s="1384"/>
      <c r="W8" s="1384"/>
      <c r="X8" s="1384"/>
      <c r="AQ8" s="1384"/>
      <c r="AR8" s="1384"/>
      <c r="AS8" s="1384"/>
      <c r="AW8" s="1384"/>
      <c r="AX8" s="1384"/>
      <c r="BJ8" s="1384"/>
      <c r="BK8" s="1384"/>
    </row>
    <row r="9" spans="1:63" s="1385" customFormat="1" ht="12.75">
      <c r="A9" s="1393">
        <v>3</v>
      </c>
      <c r="B9" s="1394">
        <v>10489</v>
      </c>
      <c r="C9" s="1394" t="s">
        <v>761</v>
      </c>
      <c r="D9" s="1395" t="s">
        <v>762</v>
      </c>
      <c r="E9" s="1396" t="s">
        <v>758</v>
      </c>
      <c r="F9" s="1425">
        <v>17.440000000000001</v>
      </c>
      <c r="G9" s="1397">
        <v>1320</v>
      </c>
      <c r="H9" s="1398">
        <f t="shared" si="0"/>
        <v>23020.800000000003</v>
      </c>
      <c r="I9" s="1399">
        <f t="shared" si="1"/>
        <v>23020.800000000003</v>
      </c>
      <c r="J9" s="1384"/>
      <c r="K9" s="1384"/>
      <c r="W9" s="1384"/>
      <c r="X9" s="1384"/>
      <c r="AQ9" s="1384"/>
      <c r="AR9" s="1384"/>
      <c r="AS9" s="1384"/>
      <c r="AW9" s="1384"/>
      <c r="AX9" s="1384"/>
      <c r="BJ9" s="1384"/>
      <c r="BK9" s="1384"/>
    </row>
    <row r="10" spans="1:63" s="1385" customFormat="1" ht="12.75">
      <c r="A10" s="1393">
        <v>4</v>
      </c>
      <c r="B10" s="1394">
        <v>4783</v>
      </c>
      <c r="C10" s="1394" t="s">
        <v>763</v>
      </c>
      <c r="D10" s="1395" t="s">
        <v>764</v>
      </c>
      <c r="E10" s="1396" t="s">
        <v>758</v>
      </c>
      <c r="F10" s="1425">
        <v>21.45</v>
      </c>
      <c r="G10" s="1397">
        <v>1320</v>
      </c>
      <c r="H10" s="1398">
        <f t="shared" si="0"/>
        <v>28314</v>
      </c>
      <c r="I10" s="1399">
        <f t="shared" si="1"/>
        <v>28314</v>
      </c>
      <c r="J10" s="1384"/>
      <c r="K10" s="1384"/>
      <c r="W10" s="1384"/>
      <c r="X10" s="1384"/>
      <c r="AQ10" s="1384"/>
      <c r="AR10" s="1384"/>
      <c r="AS10" s="1384"/>
      <c r="AW10" s="1384"/>
      <c r="AX10" s="1384"/>
      <c r="BJ10" s="1384"/>
      <c r="BK10" s="1384"/>
    </row>
    <row r="11" spans="1:63" s="1385" customFormat="1" ht="12.75">
      <c r="A11" s="1393">
        <v>5</v>
      </c>
      <c r="B11" s="1394">
        <v>88267</v>
      </c>
      <c r="C11" s="1394" t="s">
        <v>765</v>
      </c>
      <c r="D11" s="1395" t="s">
        <v>766</v>
      </c>
      <c r="E11" s="1396" t="s">
        <v>758</v>
      </c>
      <c r="F11" s="1425">
        <v>24.76</v>
      </c>
      <c r="G11" s="1397">
        <v>1320</v>
      </c>
      <c r="H11" s="1398">
        <f t="shared" si="0"/>
        <v>32683.200000000001</v>
      </c>
      <c r="I11" s="1399">
        <f t="shared" si="1"/>
        <v>32683.200000000001</v>
      </c>
      <c r="J11" s="1384"/>
      <c r="K11" s="1384"/>
      <c r="W11" s="1384"/>
      <c r="X11" s="1384"/>
      <c r="AQ11" s="1384"/>
      <c r="AR11" s="1384"/>
      <c r="AS11" s="1384"/>
      <c r="AW11" s="1384"/>
      <c r="AX11" s="1384"/>
      <c r="BJ11" s="1384"/>
      <c r="BK11" s="1384"/>
    </row>
    <row r="12" spans="1:63" s="1385" customFormat="1" ht="12.75">
      <c r="A12" s="1393">
        <v>6</v>
      </c>
      <c r="B12" s="1394">
        <v>88273</v>
      </c>
      <c r="C12" s="1394" t="s">
        <v>767</v>
      </c>
      <c r="D12" s="1395" t="s">
        <v>768</v>
      </c>
      <c r="E12" s="1396" t="s">
        <v>758</v>
      </c>
      <c r="F12" s="1425">
        <v>21.23</v>
      </c>
      <c r="G12" s="1397">
        <v>1320</v>
      </c>
      <c r="H12" s="1398">
        <f t="shared" si="0"/>
        <v>28023.600000000002</v>
      </c>
      <c r="I12" s="1399">
        <f t="shared" si="1"/>
        <v>28023.600000000002</v>
      </c>
      <c r="J12" s="1384"/>
      <c r="K12" s="1384"/>
      <c r="W12" s="1384"/>
      <c r="X12" s="1384"/>
      <c r="AQ12" s="1384"/>
      <c r="AR12" s="1384"/>
      <c r="AS12" s="1384"/>
      <c r="AW12" s="1384"/>
      <c r="AX12" s="1384"/>
      <c r="BJ12" s="1384"/>
      <c r="BK12" s="1384"/>
    </row>
    <row r="13" spans="1:63" s="1385" customFormat="1" ht="12.75">
      <c r="A13" s="1393">
        <v>7</v>
      </c>
      <c r="B13" s="1394">
        <v>88317</v>
      </c>
      <c r="C13" s="1394" t="s">
        <v>769</v>
      </c>
      <c r="D13" s="1395" t="s">
        <v>770</v>
      </c>
      <c r="E13" s="1396" t="s">
        <v>758</v>
      </c>
      <c r="F13" s="1425">
        <v>23.59</v>
      </c>
      <c r="G13" s="1397">
        <v>1320</v>
      </c>
      <c r="H13" s="1398">
        <f t="shared" si="0"/>
        <v>31138.799999999999</v>
      </c>
      <c r="I13" s="1399">
        <f t="shared" si="1"/>
        <v>31138.799999999999</v>
      </c>
      <c r="J13" s="1384"/>
      <c r="K13" s="1384"/>
      <c r="W13" s="1384"/>
      <c r="X13" s="1384"/>
      <c r="AQ13" s="1384"/>
      <c r="AR13" s="1384"/>
      <c r="AS13" s="1384"/>
      <c r="AW13" s="1384"/>
      <c r="AX13" s="1384"/>
      <c r="BJ13" s="1384"/>
      <c r="BK13" s="1384"/>
    </row>
    <row r="14" spans="1:63" s="1385" customFormat="1" ht="12.75">
      <c r="A14" s="1393">
        <v>8</v>
      </c>
      <c r="B14" s="1394">
        <v>88315</v>
      </c>
      <c r="C14" s="1394" t="s">
        <v>771</v>
      </c>
      <c r="D14" s="1395" t="s">
        <v>772</v>
      </c>
      <c r="E14" s="1396" t="s">
        <v>758</v>
      </c>
      <c r="F14" s="1425">
        <v>21.79</v>
      </c>
      <c r="G14" s="1397">
        <v>1320</v>
      </c>
      <c r="H14" s="1398">
        <f t="shared" si="0"/>
        <v>28762.799999999999</v>
      </c>
      <c r="I14" s="1399">
        <f t="shared" si="1"/>
        <v>28762.799999999999</v>
      </c>
      <c r="J14" s="1384"/>
      <c r="K14" s="1384"/>
      <c r="W14" s="1384"/>
      <c r="X14" s="1384"/>
      <c r="AQ14" s="1384"/>
      <c r="AR14" s="1384"/>
      <c r="AS14" s="1384"/>
      <c r="AW14" s="1384"/>
      <c r="AX14" s="1384"/>
      <c r="BJ14" s="1384"/>
      <c r="BK14" s="1384"/>
    </row>
    <row r="15" spans="1:63" s="1385" customFormat="1" ht="12.75">
      <c r="A15" s="1393">
        <v>9</v>
      </c>
      <c r="B15" s="1394">
        <v>88264</v>
      </c>
      <c r="C15" s="1394" t="s">
        <v>773</v>
      </c>
      <c r="D15" s="1395" t="s">
        <v>774</v>
      </c>
      <c r="E15" s="1396" t="s">
        <v>758</v>
      </c>
      <c r="F15" s="1425">
        <v>28.78</v>
      </c>
      <c r="G15" s="1397">
        <v>1320</v>
      </c>
      <c r="H15" s="1398">
        <f>(F15)*G15</f>
        <v>37989.599999999999</v>
      </c>
      <c r="I15" s="1399">
        <f>SUM(H15:H15)</f>
        <v>37989.599999999999</v>
      </c>
      <c r="J15" s="1384"/>
      <c r="K15" s="1384"/>
      <c r="W15" s="1384"/>
      <c r="X15" s="1384"/>
      <c r="AQ15" s="1384"/>
      <c r="AR15" s="1384"/>
      <c r="AS15" s="1384"/>
      <c r="AW15" s="1384"/>
      <c r="AX15" s="1384"/>
      <c r="BJ15" s="1384"/>
      <c r="BK15" s="1384"/>
    </row>
    <row r="16" spans="1:63" s="1385" customFormat="1" ht="12.75">
      <c r="A16" s="1393">
        <v>10</v>
      </c>
      <c r="B16" s="1394">
        <v>90775</v>
      </c>
      <c r="C16" s="1394" t="s">
        <v>775</v>
      </c>
      <c r="D16" s="1395" t="s">
        <v>776</v>
      </c>
      <c r="E16" s="1396" t="s">
        <v>758</v>
      </c>
      <c r="F16" s="1425">
        <v>51.02</v>
      </c>
      <c r="G16" s="1397">
        <v>1320</v>
      </c>
      <c r="H16" s="1398">
        <f t="shared" si="0"/>
        <v>67346.400000000009</v>
      </c>
      <c r="I16" s="1399">
        <f t="shared" si="1"/>
        <v>67346.400000000009</v>
      </c>
      <c r="J16" s="1384"/>
      <c r="K16" s="1384"/>
      <c r="W16" s="1384"/>
      <c r="X16" s="1384"/>
      <c r="AQ16" s="1384"/>
      <c r="AR16" s="1384"/>
      <c r="AS16" s="1384"/>
      <c r="AW16" s="1384"/>
      <c r="AX16" s="1384"/>
      <c r="BJ16" s="1384"/>
      <c r="BK16" s="1384"/>
    </row>
    <row r="17" spans="1:63" s="1385" customFormat="1" ht="12.75">
      <c r="A17" s="1393">
        <v>11</v>
      </c>
      <c r="B17" s="1394">
        <v>88252</v>
      </c>
      <c r="C17" s="1394" t="s">
        <v>777</v>
      </c>
      <c r="D17" s="1395" t="s">
        <v>778</v>
      </c>
      <c r="E17" s="1396" t="s">
        <v>758</v>
      </c>
      <c r="F17" s="1425">
        <v>17.66</v>
      </c>
      <c r="G17" s="1397">
        <v>1320</v>
      </c>
      <c r="H17" s="1398">
        <f t="shared" si="0"/>
        <v>23311.200000000001</v>
      </c>
      <c r="I17" s="1399">
        <f t="shared" si="1"/>
        <v>23311.200000000001</v>
      </c>
      <c r="J17" s="1384"/>
      <c r="K17" s="1384"/>
      <c r="W17" s="1384"/>
      <c r="X17" s="1384"/>
      <c r="AQ17" s="1384"/>
      <c r="AR17" s="1384"/>
      <c r="AS17" s="1384"/>
      <c r="AW17" s="1384"/>
      <c r="AX17" s="1384"/>
      <c r="BJ17" s="1384"/>
      <c r="BK17" s="1384"/>
    </row>
    <row r="18" spans="1:63" s="1385" customFormat="1" ht="12.75">
      <c r="A18" s="1393">
        <v>12</v>
      </c>
      <c r="B18" s="1394">
        <v>90768</v>
      </c>
      <c r="C18" s="1394" t="s">
        <v>779</v>
      </c>
      <c r="D18" s="1395" t="s">
        <v>780</v>
      </c>
      <c r="E18" s="1396" t="s">
        <v>758</v>
      </c>
      <c r="F18" s="1426">
        <v>98.17</v>
      </c>
      <c r="G18" s="1397">
        <v>1320</v>
      </c>
      <c r="H18" s="1398">
        <f t="shared" si="0"/>
        <v>129584.40000000001</v>
      </c>
      <c r="I18" s="1399">
        <f t="shared" si="1"/>
        <v>129584.40000000001</v>
      </c>
      <c r="J18" s="1384"/>
      <c r="K18" s="1384"/>
      <c r="W18" s="1384"/>
      <c r="X18" s="1384"/>
      <c r="AQ18" s="1384"/>
      <c r="AR18" s="1384"/>
      <c r="AS18" s="1384"/>
      <c r="AW18" s="1384"/>
      <c r="AX18" s="1384"/>
      <c r="BJ18" s="1384"/>
      <c r="BK18" s="1384"/>
    </row>
    <row r="19" spans="1:63" s="1385" customFormat="1" ht="12.75">
      <c r="A19" s="1393">
        <v>13</v>
      </c>
      <c r="B19" s="1394">
        <v>34794</v>
      </c>
      <c r="C19" s="1394" t="s">
        <v>781</v>
      </c>
      <c r="D19" s="1395" t="s">
        <v>782</v>
      </c>
      <c r="E19" s="1396" t="s">
        <v>758</v>
      </c>
      <c r="F19" s="1426">
        <v>28.79</v>
      </c>
      <c r="G19" s="1397">
        <v>1320</v>
      </c>
      <c r="H19" s="1398">
        <f t="shared" si="0"/>
        <v>38002.799999999996</v>
      </c>
      <c r="I19" s="1399">
        <f t="shared" si="1"/>
        <v>38002.799999999996</v>
      </c>
      <c r="J19" s="1400"/>
      <c r="K19" s="1384"/>
      <c r="W19" s="1384"/>
      <c r="X19" s="1384"/>
      <c r="AQ19" s="1384"/>
      <c r="AR19" s="1384"/>
      <c r="AS19" s="1384"/>
      <c r="AW19" s="1384"/>
      <c r="AX19" s="1384"/>
      <c r="BJ19" s="1384"/>
      <c r="BK19" s="1384"/>
    </row>
    <row r="20" spans="1:63" s="1409" customFormat="1" ht="12.75">
      <c r="A20" s="1402">
        <v>14</v>
      </c>
      <c r="B20" s="1403">
        <v>44503</v>
      </c>
      <c r="C20" s="1403" t="s">
        <v>783</v>
      </c>
      <c r="D20" s="1404" t="s">
        <v>784</v>
      </c>
      <c r="E20" s="1405" t="s">
        <v>758</v>
      </c>
      <c r="F20" s="1426">
        <v>18.93</v>
      </c>
      <c r="G20" s="1397">
        <v>1320</v>
      </c>
      <c r="H20" s="1406">
        <f t="shared" si="0"/>
        <v>24987.599999999999</v>
      </c>
      <c r="I20" s="1407">
        <f t="shared" si="1"/>
        <v>24987.599999999999</v>
      </c>
      <c r="J20" s="1408"/>
      <c r="K20" s="1408"/>
      <c r="W20" s="1408"/>
      <c r="X20" s="1408"/>
      <c r="AQ20" s="1408"/>
      <c r="AR20" s="1408"/>
      <c r="AS20" s="1408"/>
      <c r="AW20" s="1408"/>
      <c r="AX20" s="1408"/>
      <c r="BJ20" s="1408"/>
      <c r="BK20" s="1408"/>
    </row>
    <row r="21" spans="1:63" s="1385" customFormat="1" ht="13.5" thickBot="1">
      <c r="A21" s="1393">
        <v>15</v>
      </c>
      <c r="B21" s="1394">
        <v>12869</v>
      </c>
      <c r="C21" s="1394" t="s">
        <v>785</v>
      </c>
      <c r="D21" s="1395" t="s">
        <v>786</v>
      </c>
      <c r="E21" s="1396" t="s">
        <v>758</v>
      </c>
      <c r="F21" s="1426">
        <v>21.23</v>
      </c>
      <c r="G21" s="1397">
        <v>1320</v>
      </c>
      <c r="H21" s="1398">
        <f t="shared" si="0"/>
        <v>28023.600000000002</v>
      </c>
      <c r="I21" s="1399">
        <f t="shared" si="1"/>
        <v>28023.600000000002</v>
      </c>
      <c r="J21" s="1384"/>
      <c r="K21" s="1384"/>
      <c r="P21" s="1410"/>
      <c r="W21" s="1384"/>
      <c r="X21" s="1384"/>
      <c r="AQ21" s="1384"/>
      <c r="AR21" s="1384"/>
      <c r="AS21" s="1384"/>
      <c r="AW21" s="1384"/>
      <c r="AX21" s="1384"/>
      <c r="BJ21" s="1384"/>
      <c r="BK21" s="1384"/>
    </row>
    <row r="22" spans="1:63" s="1385" customFormat="1" ht="12.75">
      <c r="A22" s="1411" t="s">
        <v>787</v>
      </c>
      <c r="B22" s="1412"/>
      <c r="C22" s="1412"/>
      <c r="D22" s="1413"/>
      <c r="E22" s="1413"/>
      <c r="F22" s="1413"/>
      <c r="G22" s="1413"/>
      <c r="H22" s="1414">
        <f>SUM(H7:H21)</f>
        <v>577236</v>
      </c>
      <c r="I22" s="1415">
        <f>SUM(I7:I21)</f>
        <v>577236</v>
      </c>
      <c r="J22" s="1384"/>
      <c r="K22" s="1384"/>
      <c r="M22" s="1401"/>
      <c r="P22" s="1410"/>
      <c r="W22" s="1384"/>
      <c r="X22" s="1384"/>
      <c r="AQ22" s="1384"/>
      <c r="AR22" s="1384"/>
      <c r="AS22" s="1384"/>
      <c r="AW22" s="1384"/>
      <c r="AX22" s="1384"/>
      <c r="BJ22" s="1384"/>
      <c r="BK22" s="1384"/>
    </row>
    <row r="23" spans="1:63" s="1385" customFormat="1" ht="12.75">
      <c r="A23" s="1416" t="s">
        <v>744</v>
      </c>
      <c r="B23" s="1417"/>
      <c r="C23" s="1417"/>
      <c r="D23" s="1418"/>
      <c r="E23" s="1418"/>
      <c r="F23" s="1418"/>
      <c r="G23" s="1418"/>
      <c r="H23" s="1418"/>
      <c r="I23" s="1419">
        <f>BDI!D13</f>
        <v>0.26240000000000002</v>
      </c>
      <c r="J23" s="1384"/>
      <c r="K23" s="1384"/>
      <c r="W23" s="1384"/>
      <c r="X23" s="1384"/>
      <c r="AQ23" s="1384"/>
      <c r="AR23" s="1384"/>
      <c r="AS23" s="1384"/>
      <c r="AW23" s="1384"/>
      <c r="AX23" s="1384"/>
      <c r="BJ23" s="1384"/>
      <c r="BK23" s="1384"/>
    </row>
    <row r="24" spans="1:63" s="1385" customFormat="1" ht="12.75">
      <c r="A24" s="1416" t="s">
        <v>745</v>
      </c>
      <c r="B24" s="1417"/>
      <c r="C24" s="1417"/>
      <c r="D24" s="1418"/>
      <c r="E24" s="1418"/>
      <c r="F24" s="1418"/>
      <c r="G24" s="1418"/>
      <c r="H24" s="1418"/>
      <c r="I24" s="1420">
        <f>I22*(1+I23)</f>
        <v>728702.72639999993</v>
      </c>
      <c r="J24" s="1384"/>
      <c r="K24" s="1384"/>
      <c r="W24" s="1384"/>
      <c r="X24" s="1384"/>
      <c r="AQ24" s="1384"/>
      <c r="AR24" s="1384"/>
      <c r="AS24" s="1384"/>
      <c r="AW24" s="1384"/>
      <c r="AX24" s="1384"/>
      <c r="BJ24" s="1384"/>
      <c r="BK24" s="1384"/>
    </row>
    <row r="25" spans="1:63" s="1385" customFormat="1" ht="13.5" thickBot="1">
      <c r="A25" s="1421" t="s">
        <v>746</v>
      </c>
      <c r="B25" s="1422"/>
      <c r="C25" s="1422"/>
      <c r="D25" s="1423"/>
      <c r="E25" s="1423"/>
      <c r="F25" s="1423"/>
      <c r="G25" s="1423"/>
      <c r="H25" s="1423"/>
      <c r="I25" s="1424">
        <f>ROUND(I24/12,2)</f>
        <v>60725.23</v>
      </c>
      <c r="J25" s="1384"/>
      <c r="K25" s="1384"/>
      <c r="N25" s="1401"/>
      <c r="W25" s="1384"/>
      <c r="X25" s="1384"/>
      <c r="AQ25" s="1384"/>
      <c r="AR25" s="1384"/>
      <c r="AS25" s="1384"/>
      <c r="AW25" s="1384"/>
      <c r="AX25" s="1384"/>
      <c r="BJ25" s="1384"/>
      <c r="BK25" s="1384"/>
    </row>
  </sheetData>
  <mergeCells count="9">
    <mergeCell ref="B1:I1"/>
    <mergeCell ref="A22:G22"/>
    <mergeCell ref="A23:H23"/>
    <mergeCell ref="A24:H24"/>
    <mergeCell ref="A25:H25"/>
    <mergeCell ref="A4:I4"/>
    <mergeCell ref="A5:I5"/>
    <mergeCell ref="A2:I2"/>
    <mergeCell ref="A3:I3"/>
  </mergeCells>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ilha51">
    <tabColor rgb="FFFFFF00"/>
    <pageSetUpPr fitToPage="1"/>
  </sheetPr>
  <dimension ref="A1:AT172"/>
  <sheetViews>
    <sheetView showGridLines="0" zoomScale="115" zoomScaleNormal="115" zoomScaleSheetLayoutView="100" workbookViewId="0">
      <pane xSplit="10" ySplit="7" topLeftCell="K92" activePane="bottomRight" state="frozen"/>
      <selection pane="topRight" activeCell="M7" sqref="M7"/>
      <selection pane="bottomLeft" activeCell="M7" sqref="M7"/>
      <selection pane="bottomRight" activeCell="I6" sqref="I6"/>
    </sheetView>
  </sheetViews>
  <sheetFormatPr defaultColWidth="8.5" defaultRowHeight="12"/>
  <cols>
    <col min="1" max="1" width="2.375" style="405" customWidth="1"/>
    <col min="2" max="2" width="13.25" style="405" customWidth="1"/>
    <col min="3" max="3" width="3.875" style="405" customWidth="1"/>
    <col min="4" max="4" width="7" style="405" customWidth="1"/>
    <col min="5" max="5" width="6.125" style="405" customWidth="1"/>
    <col min="6" max="6" width="9.625" style="405" customWidth="1"/>
    <col min="7" max="7" width="3.875" style="405" customWidth="1"/>
    <col min="8" max="8" width="5" style="405" customWidth="1"/>
    <col min="9" max="9" width="19.25" style="448" customWidth="1"/>
    <col min="10" max="10" width="9.875" style="405" customWidth="1"/>
    <col min="11" max="11" width="11" style="504" customWidth="1"/>
    <col min="12" max="12" width="11.875" style="504" customWidth="1"/>
    <col min="13" max="13" width="12.625" style="504" customWidth="1"/>
    <col min="14" max="14" width="13.625" style="396" customWidth="1"/>
    <col min="15" max="15" width="14" style="396" customWidth="1"/>
    <col min="16" max="16" width="9.625" style="502" customWidth="1"/>
    <col min="17" max="17" width="9.75" style="502" customWidth="1"/>
    <col min="18" max="18" width="14.625" style="502" customWidth="1"/>
    <col min="19" max="19" width="9.625" style="502" customWidth="1"/>
    <col min="20" max="21" width="12.125" style="502" customWidth="1"/>
    <col min="22" max="22" width="11.75" style="503" customWidth="1"/>
    <col min="23" max="23" width="9.25" style="503" customWidth="1"/>
    <col min="24" max="24" width="11.625" style="503" customWidth="1"/>
    <col min="25" max="25" width="10.875" style="503" customWidth="1"/>
    <col min="26" max="26" width="10.625" style="503" customWidth="1"/>
    <col min="27" max="27" width="13.375" style="503" customWidth="1"/>
    <col min="28" max="28" width="13.625" style="503" customWidth="1"/>
    <col min="29" max="29" width="10.875" style="503" customWidth="1"/>
    <col min="30" max="30" width="10.625" style="503" customWidth="1"/>
    <col min="31" max="31" width="10.875" style="796" customWidth="1"/>
    <col min="32" max="32" width="11.125" style="502" customWidth="1"/>
    <col min="33" max="33" width="9.625" style="503" bestFit="1" customWidth="1"/>
    <col min="34" max="34" width="9.25" style="503" bestFit="1" customWidth="1"/>
    <col min="35" max="35" width="9.625" style="502" bestFit="1" customWidth="1"/>
    <col min="36" max="36" width="9.625" style="503" bestFit="1" customWidth="1"/>
    <col min="37" max="37" width="9.625" style="502" bestFit="1" customWidth="1"/>
    <col min="38" max="39" width="9.625" style="503" bestFit="1" customWidth="1"/>
    <col min="40" max="40" width="11.25" style="503" customWidth="1"/>
    <col min="41" max="41" width="9.25" style="503" bestFit="1" customWidth="1"/>
    <col min="42" max="42" width="12.125" style="503" customWidth="1"/>
    <col min="43" max="43" width="9.625" style="503" bestFit="1" customWidth="1"/>
    <col min="44" max="44" width="10.5" style="503" customWidth="1"/>
    <col min="45" max="45" width="11.125" style="503" customWidth="1"/>
    <col min="46" max="46" width="9.625" style="503" bestFit="1" customWidth="1"/>
    <col min="47" max="16384" width="8.5" style="405"/>
  </cols>
  <sheetData>
    <row r="1" spans="1:46" s="395" customFormat="1">
      <c r="A1" s="940" t="s">
        <v>788</v>
      </c>
      <c r="B1" s="940"/>
      <c r="C1" s="940"/>
      <c r="D1" s="940"/>
      <c r="E1" s="940"/>
      <c r="F1" s="940"/>
      <c r="G1" s="940"/>
      <c r="H1" s="940"/>
      <c r="I1" s="940"/>
      <c r="J1" s="940"/>
      <c r="K1" s="393"/>
      <c r="L1" s="393"/>
      <c r="M1" s="393"/>
      <c r="N1" s="393"/>
      <c r="O1" s="393"/>
      <c r="P1" s="394"/>
      <c r="Q1" s="394"/>
      <c r="R1" s="394"/>
      <c r="S1" s="394"/>
      <c r="T1" s="394"/>
      <c r="U1" s="394"/>
      <c r="V1" s="393"/>
      <c r="W1" s="393"/>
      <c r="X1" s="393"/>
      <c r="Y1" s="393"/>
      <c r="Z1" s="393"/>
      <c r="AA1" s="393"/>
      <c r="AB1" s="393"/>
      <c r="AC1" s="393"/>
      <c r="AD1" s="393"/>
      <c r="AE1" s="394"/>
      <c r="AF1" s="394"/>
      <c r="AG1" s="393"/>
      <c r="AH1" s="393"/>
      <c r="AI1" s="394"/>
      <c r="AJ1" s="393"/>
      <c r="AK1" s="394"/>
      <c r="AL1" s="393"/>
      <c r="AM1" s="394"/>
      <c r="AN1" s="393"/>
      <c r="AO1" s="393"/>
      <c r="AP1" s="394"/>
      <c r="AQ1" s="393"/>
      <c r="AR1" s="394"/>
      <c r="AS1" s="394"/>
      <c r="AT1" s="393"/>
    </row>
    <row r="2" spans="1:46" s="395" customFormat="1">
      <c r="A2" s="638"/>
      <c r="B2" s="638"/>
      <c r="C2" s="638"/>
      <c r="D2" s="638"/>
      <c r="E2" s="638"/>
      <c r="F2" s="638"/>
      <c r="G2" s="638"/>
      <c r="H2" s="638"/>
      <c r="I2" s="638"/>
      <c r="J2" s="638"/>
      <c r="K2" s="393"/>
      <c r="L2" s="393"/>
      <c r="M2" s="393"/>
      <c r="N2" s="393"/>
      <c r="O2" s="393"/>
      <c r="P2" s="394"/>
      <c r="Q2" s="394"/>
      <c r="R2" s="394"/>
      <c r="S2" s="394"/>
      <c r="T2" s="394"/>
      <c r="U2" s="394"/>
      <c r="V2" s="393"/>
      <c r="W2" s="393"/>
      <c r="X2" s="393"/>
      <c r="Y2" s="393"/>
      <c r="Z2" s="393"/>
      <c r="AA2" s="393"/>
      <c r="AB2" s="393"/>
      <c r="AC2" s="393"/>
      <c r="AD2" s="393"/>
      <c r="AE2" s="394"/>
      <c r="AF2" s="394"/>
      <c r="AG2" s="393"/>
      <c r="AH2" s="393"/>
      <c r="AI2" s="394"/>
      <c r="AJ2" s="393"/>
      <c r="AK2" s="394"/>
      <c r="AL2" s="393"/>
      <c r="AM2" s="394"/>
      <c r="AN2" s="393"/>
      <c r="AO2" s="393"/>
      <c r="AP2" s="394"/>
      <c r="AQ2" s="393"/>
      <c r="AR2" s="394"/>
      <c r="AS2" s="394"/>
      <c r="AT2" s="393"/>
    </row>
    <row r="3" spans="1:46" s="400" customFormat="1" ht="22.5">
      <c r="A3" s="505">
        <v>2</v>
      </c>
      <c r="B3" s="997" t="s">
        <v>789</v>
      </c>
      <c r="C3" s="998"/>
      <c r="D3" s="998"/>
      <c r="E3" s="998"/>
      <c r="F3" s="998"/>
      <c r="G3" s="998"/>
      <c r="H3" s="998"/>
      <c r="I3" s="998"/>
      <c r="J3" s="999"/>
      <c r="K3" s="397" t="s">
        <v>790</v>
      </c>
      <c r="L3" s="397" t="s">
        <v>790</v>
      </c>
      <c r="M3" s="397" t="s">
        <v>790</v>
      </c>
      <c r="N3" s="398" t="s">
        <v>790</v>
      </c>
      <c r="O3" s="398" t="s">
        <v>790</v>
      </c>
      <c r="P3" s="397" t="s">
        <v>790</v>
      </c>
      <c r="Q3" s="397" t="s">
        <v>790</v>
      </c>
      <c r="R3" s="709" t="s">
        <v>790</v>
      </c>
      <c r="S3" s="709" t="s">
        <v>790</v>
      </c>
      <c r="T3" s="709" t="s">
        <v>790</v>
      </c>
      <c r="U3" s="709" t="s">
        <v>790</v>
      </c>
      <c r="V3" s="398" t="s">
        <v>790</v>
      </c>
      <c r="W3" s="398" t="s">
        <v>790</v>
      </c>
      <c r="X3" s="398" t="s">
        <v>790</v>
      </c>
      <c r="Y3" s="398" t="s">
        <v>790</v>
      </c>
      <c r="Z3" s="398" t="s">
        <v>790</v>
      </c>
      <c r="AA3" s="398" t="s">
        <v>790</v>
      </c>
      <c r="AB3" s="398" t="s">
        <v>790</v>
      </c>
      <c r="AC3" s="398" t="s">
        <v>790</v>
      </c>
      <c r="AD3" s="398" t="s">
        <v>791</v>
      </c>
      <c r="AE3" s="781" t="s">
        <v>792</v>
      </c>
      <c r="AF3" s="399" t="s">
        <v>793</v>
      </c>
      <c r="AG3" s="398" t="s">
        <v>794</v>
      </c>
      <c r="AH3" s="398" t="s">
        <v>794</v>
      </c>
      <c r="AI3" s="399" t="s">
        <v>795</v>
      </c>
      <c r="AJ3" s="398" t="s">
        <v>796</v>
      </c>
      <c r="AK3" s="399" t="s">
        <v>797</v>
      </c>
      <c r="AL3" s="398" t="s">
        <v>798</v>
      </c>
      <c r="AM3" s="399" t="s">
        <v>799</v>
      </c>
      <c r="AN3" s="398" t="s">
        <v>800</v>
      </c>
      <c r="AO3" s="398" t="s">
        <v>801</v>
      </c>
      <c r="AP3" s="399" t="s">
        <v>802</v>
      </c>
      <c r="AQ3" s="398" t="s">
        <v>803</v>
      </c>
      <c r="AR3" s="399" t="s">
        <v>804</v>
      </c>
      <c r="AS3" s="399" t="s">
        <v>805</v>
      </c>
      <c r="AT3" s="398" t="s">
        <v>805</v>
      </c>
    </row>
    <row r="4" spans="1:46" s="400" customFormat="1" ht="11.25">
      <c r="A4" s="996" t="s">
        <v>806</v>
      </c>
      <c r="B4" s="996"/>
      <c r="C4" s="996"/>
      <c r="D4" s="996"/>
      <c r="E4" s="996"/>
      <c r="F4" s="996"/>
      <c r="G4" s="996"/>
      <c r="H4" s="996"/>
      <c r="I4" s="996"/>
      <c r="J4" s="996"/>
      <c r="K4" s="397" t="s">
        <v>807</v>
      </c>
      <c r="L4" s="397" t="s">
        <v>807</v>
      </c>
      <c r="M4" s="397" t="s">
        <v>807</v>
      </c>
      <c r="N4" s="397" t="s">
        <v>807</v>
      </c>
      <c r="O4" s="397" t="s">
        <v>807</v>
      </c>
      <c r="P4" s="397" t="s">
        <v>807</v>
      </c>
      <c r="Q4" s="397" t="s">
        <v>807</v>
      </c>
      <c r="R4" s="710" t="s">
        <v>807</v>
      </c>
      <c r="S4" s="710" t="s">
        <v>807</v>
      </c>
      <c r="T4" s="710" t="s">
        <v>807</v>
      </c>
      <c r="U4" s="710" t="s">
        <v>807</v>
      </c>
      <c r="V4" s="397" t="s">
        <v>807</v>
      </c>
      <c r="W4" s="397" t="s">
        <v>807</v>
      </c>
      <c r="X4" s="397" t="s">
        <v>807</v>
      </c>
      <c r="Y4" s="397" t="s">
        <v>807</v>
      </c>
      <c r="Z4" s="397" t="s">
        <v>807</v>
      </c>
      <c r="AA4" s="397" t="s">
        <v>808</v>
      </c>
      <c r="AB4" s="397" t="s">
        <v>100</v>
      </c>
      <c r="AC4" s="397" t="s">
        <v>100</v>
      </c>
      <c r="AD4" s="397" t="s">
        <v>102</v>
      </c>
      <c r="AE4" s="781" t="s">
        <v>109</v>
      </c>
      <c r="AF4" s="399" t="s">
        <v>112</v>
      </c>
      <c r="AG4" s="398" t="s">
        <v>115</v>
      </c>
      <c r="AH4" s="398" t="s">
        <v>115</v>
      </c>
      <c r="AI4" s="399" t="s">
        <v>119</v>
      </c>
      <c r="AJ4" s="398" t="s">
        <v>122</v>
      </c>
      <c r="AK4" s="399" t="s">
        <v>125</v>
      </c>
      <c r="AL4" s="398" t="s">
        <v>128</v>
      </c>
      <c r="AM4" s="399" t="s">
        <v>131</v>
      </c>
      <c r="AN4" s="398" t="s">
        <v>809</v>
      </c>
      <c r="AO4" s="398" t="s">
        <v>137</v>
      </c>
      <c r="AP4" s="399" t="s">
        <v>140</v>
      </c>
      <c r="AQ4" s="398" t="s">
        <v>143</v>
      </c>
      <c r="AR4" s="399" t="s">
        <v>146</v>
      </c>
      <c r="AS4" s="399" t="s">
        <v>149</v>
      </c>
      <c r="AT4" s="399" t="s">
        <v>149</v>
      </c>
    </row>
    <row r="5" spans="1:46" s="401" customFormat="1" ht="42" customHeight="1">
      <c r="A5" s="906" t="s">
        <v>810</v>
      </c>
      <c r="B5" s="907"/>
      <c r="C5" s="907"/>
      <c r="D5" s="907"/>
      <c r="E5" s="907"/>
      <c r="F5" s="907"/>
      <c r="G5" s="907"/>
      <c r="H5" s="907"/>
      <c r="I5" s="907"/>
      <c r="J5" s="908"/>
      <c r="K5" s="640" t="s">
        <v>811</v>
      </c>
      <c r="L5" s="640" t="s">
        <v>812</v>
      </c>
      <c r="M5" s="640" t="s">
        <v>813</v>
      </c>
      <c r="N5" s="640" t="s">
        <v>814</v>
      </c>
      <c r="O5" s="640" t="s">
        <v>815</v>
      </c>
      <c r="P5" s="641" t="s">
        <v>816</v>
      </c>
      <c r="Q5" s="640" t="s">
        <v>782</v>
      </c>
      <c r="R5" s="643" t="s">
        <v>817</v>
      </c>
      <c r="S5" s="643" t="s">
        <v>818</v>
      </c>
      <c r="T5" s="642" t="s">
        <v>819</v>
      </c>
      <c r="U5" s="642" t="s">
        <v>820</v>
      </c>
      <c r="V5" s="640" t="s">
        <v>821</v>
      </c>
      <c r="W5" s="640" t="s">
        <v>822</v>
      </c>
      <c r="X5" s="578" t="s">
        <v>823</v>
      </c>
      <c r="Y5" s="640" t="s">
        <v>824</v>
      </c>
      <c r="Z5" s="578" t="s">
        <v>183</v>
      </c>
      <c r="AA5" s="640" t="s">
        <v>825</v>
      </c>
      <c r="AB5" s="640" t="s">
        <v>825</v>
      </c>
      <c r="AC5" s="640" t="s">
        <v>824</v>
      </c>
      <c r="AD5" s="640" t="s">
        <v>825</v>
      </c>
      <c r="AE5" s="782" t="s">
        <v>825</v>
      </c>
      <c r="AF5" s="640" t="s">
        <v>825</v>
      </c>
      <c r="AG5" s="640" t="s">
        <v>1223</v>
      </c>
      <c r="AH5" s="640" t="s">
        <v>825</v>
      </c>
      <c r="AI5" s="640" t="s">
        <v>825</v>
      </c>
      <c r="AJ5" s="640" t="s">
        <v>825</v>
      </c>
      <c r="AK5" s="640" t="s">
        <v>825</v>
      </c>
      <c r="AL5" s="640" t="s">
        <v>825</v>
      </c>
      <c r="AM5" s="640" t="s">
        <v>825</v>
      </c>
      <c r="AN5" s="640" t="s">
        <v>825</v>
      </c>
      <c r="AO5" s="640" t="s">
        <v>825</v>
      </c>
      <c r="AP5" s="640" t="s">
        <v>825</v>
      </c>
      <c r="AQ5" s="640" t="s">
        <v>825</v>
      </c>
      <c r="AR5" s="640" t="s">
        <v>825</v>
      </c>
      <c r="AS5" s="579" t="s">
        <v>826</v>
      </c>
      <c r="AT5" s="640" t="s">
        <v>825</v>
      </c>
    </row>
    <row r="6" spans="1:46" s="401" customFormat="1" ht="22.5">
      <c r="A6" s="553"/>
      <c r="B6" s="554"/>
      <c r="C6" s="554"/>
      <c r="D6" s="554"/>
      <c r="E6" s="554"/>
      <c r="F6" s="554"/>
      <c r="G6" s="554"/>
      <c r="H6" s="554"/>
      <c r="I6" s="554"/>
      <c r="J6" s="554"/>
      <c r="K6" s="402" t="s">
        <v>32</v>
      </c>
      <c r="L6" s="402" t="s">
        <v>42</v>
      </c>
      <c r="M6" s="402" t="s">
        <v>49</v>
      </c>
      <c r="N6" s="402" t="s">
        <v>1220</v>
      </c>
      <c r="O6" s="402" t="s">
        <v>57</v>
      </c>
      <c r="P6" s="402" t="s">
        <v>61</v>
      </c>
      <c r="Q6" s="402" t="s">
        <v>64</v>
      </c>
      <c r="R6" s="711" t="s">
        <v>68</v>
      </c>
      <c r="S6" s="711" t="s">
        <v>71</v>
      </c>
      <c r="T6" s="711" t="s">
        <v>74</v>
      </c>
      <c r="U6" s="711" t="s">
        <v>77</v>
      </c>
      <c r="V6" s="403" t="s">
        <v>80</v>
      </c>
      <c r="W6" s="403" t="s">
        <v>83</v>
      </c>
      <c r="X6" s="403" t="s">
        <v>86</v>
      </c>
      <c r="Y6" s="403" t="s">
        <v>1221</v>
      </c>
      <c r="Z6" s="403" t="s">
        <v>91</v>
      </c>
      <c r="AA6" s="403" t="s">
        <v>99</v>
      </c>
      <c r="AB6" s="403" t="s">
        <v>101</v>
      </c>
      <c r="AC6" s="403" t="s">
        <v>1219</v>
      </c>
      <c r="AD6" s="403" t="s">
        <v>103</v>
      </c>
      <c r="AE6" s="783" t="s">
        <v>110</v>
      </c>
      <c r="AF6" s="403" t="s">
        <v>113</v>
      </c>
      <c r="AG6" s="403" t="s">
        <v>1222</v>
      </c>
      <c r="AH6" s="403" t="s">
        <v>117</v>
      </c>
      <c r="AI6" s="403" t="s">
        <v>120</v>
      </c>
      <c r="AJ6" s="403" t="s">
        <v>123</v>
      </c>
      <c r="AK6" s="403" t="s">
        <v>126</v>
      </c>
      <c r="AL6" s="403" t="s">
        <v>129</v>
      </c>
      <c r="AM6" s="403" t="s">
        <v>132</v>
      </c>
      <c r="AN6" s="403" t="s">
        <v>135</v>
      </c>
      <c r="AO6" s="403" t="s">
        <v>138</v>
      </c>
      <c r="AP6" s="403" t="s">
        <v>141</v>
      </c>
      <c r="AQ6" s="403" t="s">
        <v>144</v>
      </c>
      <c r="AR6" s="403" t="s">
        <v>147</v>
      </c>
      <c r="AS6" s="403" t="s">
        <v>150</v>
      </c>
      <c r="AT6" s="403" t="s">
        <v>152</v>
      </c>
    </row>
    <row r="7" spans="1:46">
      <c r="A7" s="554"/>
      <c r="B7" s="554"/>
      <c r="C7" s="554"/>
      <c r="D7" s="554"/>
      <c r="E7" s="554"/>
      <c r="F7" s="554"/>
      <c r="G7" s="554"/>
      <c r="H7" s="554"/>
      <c r="I7" s="554"/>
      <c r="J7" s="554" t="s">
        <v>827</v>
      </c>
      <c r="K7" s="504" t="str">
        <f>VLOOKUP(K6,'Dados - Composição PCFP'!$D$5:$H$40,2,FALSE)</f>
        <v>SIM</v>
      </c>
      <c r="L7" s="504" t="str">
        <f>VLOOKUP(L6,'Dados - Composição PCFP'!$D$5:$H$40,2,FALSE)</f>
        <v>SIM</v>
      </c>
      <c r="M7" s="504" t="str">
        <f>VLOOKUP(M6,'Dados - Composição PCFP'!$D$5:$H$40,2,FALSE)</f>
        <v>SIM</v>
      </c>
      <c r="N7" s="504" t="str">
        <f>VLOOKUP(N6,'Dados - Composição PCFP'!$D$5:$H$40,2,FALSE)</f>
        <v>SIM</v>
      </c>
      <c r="O7" s="504" t="str">
        <f>VLOOKUP(O6,'Dados - Composição PCFP'!$D$5:$H$40,2,FALSE)</f>
        <v>NÃO</v>
      </c>
      <c r="P7" s="504" t="str">
        <f>VLOOKUP(P6,'Dados - Composição PCFP'!$D$5:$H$40,2,FALSE)</f>
        <v>SIM</v>
      </c>
      <c r="Q7" s="504" t="str">
        <f>VLOOKUP(Q6,'Dados - Composição PCFP'!$D$5:$H$40,2,FALSE)</f>
        <v>SIM</v>
      </c>
      <c r="R7" s="610" t="str">
        <f>VLOOKUP(R6,'Dados - Composição PCFP'!$D$5:$H$40,2,FALSE)</f>
        <v>SIM</v>
      </c>
      <c r="S7" s="610" t="str">
        <f>VLOOKUP(S6,'Dados - Composição PCFP'!$D$5:$H$40,2,FALSE)</f>
        <v>SIM</v>
      </c>
      <c r="T7" s="610" t="str">
        <f>VLOOKUP(T6,'Dados - Composição PCFP'!$D$5:$H$40,2,FALSE)</f>
        <v>SIM</v>
      </c>
      <c r="U7" s="610" t="str">
        <f>VLOOKUP(U6,'Dados - Composição PCFP'!$D$5:$H$40,2,FALSE)</f>
        <v>SIM</v>
      </c>
      <c r="V7" s="504" t="str">
        <f>VLOOKUP(V6,'Dados - Composição PCFP'!$D$5:$H$40,2,FALSE)</f>
        <v>SIM</v>
      </c>
      <c r="W7" s="504" t="str">
        <f>VLOOKUP(W6,'Dados - Composição PCFP'!$D$5:$H$40,2,FALSE)</f>
        <v>SIM</v>
      </c>
      <c r="X7" s="504" t="str">
        <f>VLOOKUP(X6,'Dados - Composição PCFP'!$D$5:$H$40,2,FALSE)</f>
        <v>SIM</v>
      </c>
      <c r="Y7" s="504" t="str">
        <f>VLOOKUP(Y6,'Dados - Composição PCFP'!$D$5:$H$40,2,FALSE)</f>
        <v>NÃO</v>
      </c>
      <c r="Z7" s="504" t="str">
        <f>VLOOKUP(Z6,'Dados - Composição PCFP'!$D$5:$H$40,2,FALSE)</f>
        <v>SIM</v>
      </c>
      <c r="AA7" s="504" t="str">
        <f>VLOOKUP(AA6,'Dados - Composição PCFP'!$D$5:$H$40,2,FALSE)</f>
        <v>SIM</v>
      </c>
      <c r="AB7" s="504" t="str">
        <f>VLOOKUP(AB6,'Dados - Composição PCFP'!$D$5:$H$40,2,FALSE)</f>
        <v>SIM</v>
      </c>
      <c r="AC7" s="504" t="str">
        <f>VLOOKUP(AC6,'Dados - Composição PCFP'!$D$5:$H$40,2,FALSE)</f>
        <v>NÃO</v>
      </c>
      <c r="AD7" s="504" t="str">
        <f>VLOOKUP(AD6,'Dados - Composição PCFP'!$D$5:$H$40,2,FALSE)</f>
        <v>SIM</v>
      </c>
      <c r="AE7" s="450" t="str">
        <f>VLOOKUP(AE6,'Dados - Composição PCFP'!$D$5:$H$40,2,FALSE)</f>
        <v>SIM</v>
      </c>
      <c r="AF7" s="504" t="str">
        <f>VLOOKUP(AF6,'Dados - Composição PCFP'!$D$5:$H$40,2,FALSE)</f>
        <v>SIM</v>
      </c>
      <c r="AG7" s="504" t="s">
        <v>33</v>
      </c>
      <c r="AH7" s="504" t="str">
        <f>VLOOKUP(AH6,'Dados - Composição PCFP'!$D$5:$H$40,2,FALSE)</f>
        <v>SIM</v>
      </c>
      <c r="AI7" s="504" t="str">
        <f>VLOOKUP(AI6,'Dados - Composição PCFP'!$D$5:$H$40,2,FALSE)</f>
        <v>SIM</v>
      </c>
      <c r="AJ7" s="504" t="str">
        <f>VLOOKUP(AJ6,'Dados - Composição PCFP'!$D$5:$H$40,2,FALSE)</f>
        <v>SIM</v>
      </c>
      <c r="AK7" s="504" t="str">
        <f>VLOOKUP(AK6,'Dados - Composição PCFP'!$D$5:$H$40,2,FALSE)</f>
        <v>SIM</v>
      </c>
      <c r="AL7" s="504" t="str">
        <f>VLOOKUP(AL6,'Dados - Composição PCFP'!$D$5:$H$40,2,FALSE)</f>
        <v>SIM</v>
      </c>
      <c r="AM7" s="504" t="str">
        <f>VLOOKUP(AM6,'Dados - Composição PCFP'!$D$5:$H$40,2,FALSE)</f>
        <v>SIM</v>
      </c>
      <c r="AN7" s="504" t="str">
        <f>VLOOKUP(AN6,'Dados - Composição PCFP'!$D$5:$H$40,2,FALSE)</f>
        <v>SIM</v>
      </c>
      <c r="AO7" s="504" t="str">
        <f>VLOOKUP(AO6,'Dados - Composição PCFP'!$D$5:$H$40,2,FALSE)</f>
        <v>SIM</v>
      </c>
      <c r="AP7" s="504" t="str">
        <f>VLOOKUP(AP6,'Dados - Composição PCFP'!$D$5:$H$40,2,FALSE)</f>
        <v>SIM</v>
      </c>
      <c r="AQ7" s="504" t="str">
        <f>VLOOKUP(AQ6,'Dados - Composição PCFP'!$D$5:$H$40,2,FALSE)</f>
        <v>SIM</v>
      </c>
      <c r="AR7" s="504" t="str">
        <f>VLOOKUP(AR6,'Dados - Composição PCFP'!$D$5:$H$40,2,FALSE)</f>
        <v>SIM</v>
      </c>
      <c r="AS7" s="504" t="str">
        <f>VLOOKUP(AS6,'Dados - Composição PCFP'!$D$5:$H$40,2,FALSE)</f>
        <v>SIM</v>
      </c>
      <c r="AT7" s="504" t="str">
        <f>VLOOKUP(AT6,'Dados - Composição PCFP'!$D$5:$H$40,2,FALSE)</f>
        <v>SIM</v>
      </c>
    </row>
    <row r="8" spans="1:46" s="374" customFormat="1">
      <c r="A8" s="1003" t="s">
        <v>828</v>
      </c>
      <c r="B8" s="1004"/>
      <c r="C8" s="1004"/>
      <c r="D8" s="1004"/>
      <c r="E8" s="1004"/>
      <c r="F8" s="1004"/>
      <c r="G8" s="1004"/>
      <c r="H8" s="1004"/>
      <c r="I8" s="1004"/>
      <c r="J8" s="1004"/>
      <c r="K8" s="391">
        <v>0.3</v>
      </c>
      <c r="L8" s="391">
        <v>0.3</v>
      </c>
      <c r="M8" s="391">
        <v>0.3</v>
      </c>
      <c r="N8" s="391">
        <v>0.3</v>
      </c>
      <c r="O8" s="391">
        <v>0.3</v>
      </c>
      <c r="P8" s="391">
        <v>0.3</v>
      </c>
      <c r="Q8" s="391">
        <v>0.3</v>
      </c>
      <c r="R8" s="391">
        <v>0.3</v>
      </c>
      <c r="S8" s="391">
        <v>0.3</v>
      </c>
      <c r="T8" s="391">
        <v>0.3</v>
      </c>
      <c r="U8" s="391">
        <v>0.3</v>
      </c>
      <c r="V8" s="391">
        <v>0.3</v>
      </c>
      <c r="W8" s="391">
        <v>0.3</v>
      </c>
      <c r="X8" s="391">
        <v>0.3</v>
      </c>
      <c r="Y8" s="391">
        <v>0.3</v>
      </c>
      <c r="Z8" s="391">
        <v>0.3</v>
      </c>
      <c r="AA8" s="391">
        <v>0.3</v>
      </c>
      <c r="AB8" s="779">
        <v>0</v>
      </c>
      <c r="AC8" s="779">
        <v>0</v>
      </c>
      <c r="AD8" s="391">
        <v>0.3</v>
      </c>
      <c r="AE8" s="391">
        <v>0.3</v>
      </c>
      <c r="AF8" s="391">
        <v>0.3</v>
      </c>
      <c r="AG8" s="391">
        <v>0.3</v>
      </c>
      <c r="AH8" s="391">
        <v>0.3</v>
      </c>
      <c r="AI8" s="391">
        <v>0.3</v>
      </c>
      <c r="AJ8" s="391">
        <v>0.3</v>
      </c>
      <c r="AK8" s="391">
        <v>0.3</v>
      </c>
      <c r="AL8" s="391">
        <v>0.3</v>
      </c>
      <c r="AM8" s="391">
        <v>0.3</v>
      </c>
      <c r="AN8" s="391">
        <v>0.3</v>
      </c>
      <c r="AO8" s="391">
        <v>0.3</v>
      </c>
      <c r="AP8" s="391">
        <v>0.3</v>
      </c>
      <c r="AQ8" s="391">
        <v>0.3</v>
      </c>
      <c r="AR8" s="391">
        <v>0.3</v>
      </c>
      <c r="AS8" s="391">
        <v>0.3</v>
      </c>
      <c r="AT8" s="391">
        <v>0.3</v>
      </c>
    </row>
    <row r="9" spans="1:46">
      <c r="A9" s="899" t="s">
        <v>829</v>
      </c>
      <c r="B9" s="900"/>
      <c r="C9" s="900"/>
      <c r="D9" s="900"/>
      <c r="E9" s="900"/>
      <c r="F9" s="900"/>
      <c r="G9" s="900"/>
      <c r="H9" s="900"/>
      <c r="I9" s="900"/>
      <c r="J9" s="900"/>
      <c r="K9" s="404" t="s">
        <v>830</v>
      </c>
      <c r="L9" s="404" t="s">
        <v>830</v>
      </c>
      <c r="M9" s="404" t="s">
        <v>830</v>
      </c>
      <c r="N9" s="552" t="s">
        <v>830</v>
      </c>
      <c r="O9" s="552" t="s">
        <v>830</v>
      </c>
      <c r="P9" s="404" t="s">
        <v>830</v>
      </c>
      <c r="Q9" s="404" t="s">
        <v>830</v>
      </c>
      <c r="R9" s="712" t="s">
        <v>830</v>
      </c>
      <c r="S9" s="712" t="s">
        <v>830</v>
      </c>
      <c r="T9" s="712" t="s">
        <v>830</v>
      </c>
      <c r="U9" s="712" t="s">
        <v>830</v>
      </c>
      <c r="V9" s="552" t="s">
        <v>830</v>
      </c>
      <c r="W9" s="552" t="s">
        <v>830</v>
      </c>
      <c r="X9" s="552" t="s">
        <v>830</v>
      </c>
      <c r="Y9" s="552" t="s">
        <v>830</v>
      </c>
      <c r="Z9" s="552" t="s">
        <v>830</v>
      </c>
      <c r="AA9" s="552" t="s">
        <v>830</v>
      </c>
      <c r="AB9" s="552" t="s">
        <v>830</v>
      </c>
      <c r="AC9" s="552" t="s">
        <v>830</v>
      </c>
      <c r="AD9" s="552" t="s">
        <v>830</v>
      </c>
      <c r="AE9" s="784" t="s">
        <v>830</v>
      </c>
      <c r="AF9" s="404" t="s">
        <v>830</v>
      </c>
      <c r="AG9" s="552" t="s">
        <v>830</v>
      </c>
      <c r="AH9" s="552" t="s">
        <v>830</v>
      </c>
      <c r="AI9" s="404" t="s">
        <v>830</v>
      </c>
      <c r="AJ9" s="552" t="s">
        <v>830</v>
      </c>
      <c r="AK9" s="404" t="s">
        <v>830</v>
      </c>
      <c r="AL9" s="552" t="s">
        <v>830</v>
      </c>
      <c r="AM9" s="404" t="s">
        <v>830</v>
      </c>
      <c r="AN9" s="552" t="s">
        <v>830</v>
      </c>
      <c r="AO9" s="552" t="s">
        <v>830</v>
      </c>
      <c r="AP9" s="404" t="s">
        <v>830</v>
      </c>
      <c r="AQ9" s="552" t="s">
        <v>830</v>
      </c>
      <c r="AR9" s="404" t="s">
        <v>830</v>
      </c>
      <c r="AS9" s="404" t="s">
        <v>830</v>
      </c>
      <c r="AT9" s="552" t="s">
        <v>830</v>
      </c>
    </row>
    <row r="10" spans="1:46">
      <c r="A10" s="406" t="s">
        <v>157</v>
      </c>
      <c r="B10" s="1000" t="s">
        <v>831</v>
      </c>
      <c r="C10" s="1001"/>
      <c r="D10" s="1001"/>
      <c r="E10" s="1001"/>
      <c r="F10" s="1001"/>
      <c r="G10" s="1001"/>
      <c r="H10" s="1001"/>
      <c r="I10" s="1001"/>
      <c r="J10" s="1001"/>
      <c r="K10" s="450">
        <f>VLOOKUP(K6,'Dados - Composição PCFP'!$D$5:$H$40,3,FALSE)</f>
        <v>10723.22</v>
      </c>
      <c r="L10" s="450">
        <f>VLOOKUP(L6,'Dados - Composição PCFP'!$D$5:$H$40,3,FALSE)</f>
        <v>3016.69</v>
      </c>
      <c r="M10" s="450">
        <f>VLOOKUP(M6,'Dados - Composição PCFP'!$D$5:$H$40,3,FALSE)</f>
        <v>2513.91</v>
      </c>
      <c r="N10" s="450">
        <f>VLOOKUP(N6,'Dados - Composição PCFP'!$D$5:$H$40,3,FALSE)</f>
        <v>2513.91</v>
      </c>
      <c r="O10" s="450">
        <f>VLOOKUP(O6,'Dados - Composição PCFP'!$D$5:$H$40,3,FALSE)</f>
        <v>2066.0100000000002</v>
      </c>
      <c r="P10" s="450">
        <f>VLOOKUP(P6,'Dados - Composição PCFP'!$D$5:$H$40,3,FALSE)</f>
        <v>2513.91</v>
      </c>
      <c r="Q10" s="450">
        <f>VLOOKUP(Q6,'Dados - Composição PCFP'!$D$5:$H$40,3,FALSE)</f>
        <v>2513.91</v>
      </c>
      <c r="R10" s="713">
        <f>VLOOKUP(R6,'Dados - Composição PCFP'!$D$5:$H$40,3,FALSE)</f>
        <v>2513.91</v>
      </c>
      <c r="S10" s="713">
        <f>VLOOKUP(S6,'Dados - Composição PCFP'!$D$5:$H$40,3,FALSE)</f>
        <v>2513.91</v>
      </c>
      <c r="T10" s="713">
        <f>VLOOKUP(T6,'Dados - Composição PCFP'!$D$5:$H$40,3,FALSE)</f>
        <v>2513.91</v>
      </c>
      <c r="U10" s="713">
        <f>VLOOKUP(U6,'Dados - Composição PCFP'!$D$5:$H$40,3,FALSE)</f>
        <v>2513.91</v>
      </c>
      <c r="V10" s="450">
        <f>VLOOKUP(V6,'Dados - Composição PCFP'!$D$5:$H$40,3,FALSE)</f>
        <v>2513.91</v>
      </c>
      <c r="W10" s="450">
        <f>VLOOKUP(W6,'Dados - Composição PCFP'!$D$5:$H$40,3,FALSE)</f>
        <v>2513.91</v>
      </c>
      <c r="X10" s="450">
        <f>VLOOKUP(X6,'Dados - Composição PCFP'!$D$5:$H$40,3,FALSE)</f>
        <v>2513.91</v>
      </c>
      <c r="Y10" s="450">
        <f>VLOOKUP(Y6,'Dados - Composição PCFP'!$D$5:$H$40,3,FALSE)</f>
        <v>2066.0100000000002</v>
      </c>
      <c r="Z10" s="450">
        <f>VLOOKUP(Z6,'Dados - Composição PCFP'!$D$5:$H$40,3,FALSE)</f>
        <v>2639.15</v>
      </c>
      <c r="AA10" s="450">
        <f>VLOOKUP(AA6,'Dados - Composição PCFP'!$D$5:$H$40,3,FALSE)</f>
        <v>2513.91</v>
      </c>
      <c r="AB10" s="450">
        <f>VLOOKUP(AB6,'Dados - Composição PCFP'!$D$5:$H$40,3,FALSE)</f>
        <v>2513.91</v>
      </c>
      <c r="AC10" s="450">
        <f>VLOOKUP(AC6,'Dados - Composição PCFP'!$D$5:$H$40,3,FALSE)</f>
        <v>2066.0100000000002</v>
      </c>
      <c r="AD10" s="450">
        <f>VLOOKUP(AD6,'Dados - Composição PCFP'!$D$5:$H$40,3,FALSE)</f>
        <v>2513.91</v>
      </c>
      <c r="AE10" s="450">
        <f>VLOOKUP(AE6,'Dados - Composição PCFP'!$D$5:$H$40,3,FALSE)</f>
        <v>2513.91</v>
      </c>
      <c r="AF10" s="450">
        <f>VLOOKUP(AF6,'Dados - Composição PCFP'!$D$5:$H$40,3,FALSE)</f>
        <v>2513.91</v>
      </c>
      <c r="AG10" s="450">
        <f>VLOOKUP(AG6,'Dados - Composição PCFP'!$D$5:$H$40,3,FALSE)</f>
        <v>2513.91</v>
      </c>
      <c r="AH10" s="450">
        <f>VLOOKUP(AH6,'Dados - Composição PCFP'!$D$5:$H$40,3,FALSE)</f>
        <v>2513.91</v>
      </c>
      <c r="AI10" s="450">
        <f>VLOOKUP(AI6,'Dados - Composição PCFP'!$D$5:$H$40,3,FALSE)</f>
        <v>2513.91</v>
      </c>
      <c r="AJ10" s="450">
        <f>VLOOKUP(AJ6,'Dados - Composição PCFP'!$D$5:$H$40,3,FALSE)</f>
        <v>2513.91</v>
      </c>
      <c r="AK10" s="450">
        <f>VLOOKUP(AK6,'Dados - Composição PCFP'!$D$5:$H$40,3,FALSE)</f>
        <v>2513.91</v>
      </c>
      <c r="AL10" s="450">
        <f>VLOOKUP(AL6,'Dados - Composição PCFP'!$D$5:$H$40,3,FALSE)</f>
        <v>2513.91</v>
      </c>
      <c r="AM10" s="450">
        <f>VLOOKUP(AM6,'Dados - Composição PCFP'!$D$5:$H$40,3,FALSE)</f>
        <v>2513.91</v>
      </c>
      <c r="AN10" s="450">
        <f>VLOOKUP(AN6,'Dados - Composição PCFP'!$D$5:$H$40,3,FALSE)</f>
        <v>2513.91</v>
      </c>
      <c r="AO10" s="450">
        <f>VLOOKUP(AO6,'Dados - Composição PCFP'!$D$5:$H$40,3,FALSE)</f>
        <v>2513.91</v>
      </c>
      <c r="AP10" s="450">
        <f>VLOOKUP(AP6,'Dados - Composição PCFP'!$D$5:$H$40,3,FALSE)</f>
        <v>2513.91</v>
      </c>
      <c r="AQ10" s="450">
        <f>VLOOKUP(AQ6,'Dados - Composição PCFP'!$D$5:$H$40,3,FALSE)</f>
        <v>2513.91</v>
      </c>
      <c r="AR10" s="450">
        <f>VLOOKUP(AR6,'Dados - Composição PCFP'!$D$5:$H$40,3,FALSE)</f>
        <v>2513.91</v>
      </c>
      <c r="AS10" s="450">
        <f>VLOOKUP(AS6,'Dados - Composição PCFP'!$D$5:$H$40,3,FALSE)</f>
        <v>2513.91</v>
      </c>
      <c r="AT10" s="450">
        <f>VLOOKUP(AT6,'Dados - Composição PCFP'!$D$5:$H$40,3,FALSE)</f>
        <v>2513.91</v>
      </c>
    </row>
    <row r="11" spans="1:46">
      <c r="A11" s="409" t="s">
        <v>159</v>
      </c>
      <c r="B11" s="911" t="s">
        <v>832</v>
      </c>
      <c r="C11" s="912"/>
      <c r="D11" s="912"/>
      <c r="E11" s="912"/>
      <c r="F11" s="912"/>
      <c r="G11" s="912"/>
      <c r="H11" s="912"/>
      <c r="I11" s="912"/>
      <c r="J11" s="913"/>
      <c r="K11" s="410">
        <f t="shared" ref="K11:AT11" si="0">ROUND(K$8*K$10,2)</f>
        <v>3216.97</v>
      </c>
      <c r="L11" s="407">
        <f t="shared" si="0"/>
        <v>905.01</v>
      </c>
      <c r="M11" s="407">
        <f t="shared" si="0"/>
        <v>754.17</v>
      </c>
      <c r="N11" s="408">
        <f t="shared" si="0"/>
        <v>754.17</v>
      </c>
      <c r="O11" s="408">
        <f t="shared" si="0"/>
        <v>619.79999999999995</v>
      </c>
      <c r="P11" s="407">
        <f t="shared" si="0"/>
        <v>754.17</v>
      </c>
      <c r="Q11" s="407">
        <f t="shared" si="0"/>
        <v>754.17</v>
      </c>
      <c r="R11" s="714">
        <f t="shared" si="0"/>
        <v>754.17</v>
      </c>
      <c r="S11" s="714">
        <f t="shared" si="0"/>
        <v>754.17</v>
      </c>
      <c r="T11" s="714">
        <f t="shared" si="0"/>
        <v>754.17</v>
      </c>
      <c r="U11" s="714">
        <f t="shared" si="0"/>
        <v>754.17</v>
      </c>
      <c r="V11" s="408">
        <f t="shared" si="0"/>
        <v>754.17</v>
      </c>
      <c r="W11" s="408">
        <f t="shared" si="0"/>
        <v>754.17</v>
      </c>
      <c r="X11" s="408">
        <f t="shared" si="0"/>
        <v>754.17</v>
      </c>
      <c r="Y11" s="408">
        <f t="shared" si="0"/>
        <v>619.79999999999995</v>
      </c>
      <c r="Z11" s="408">
        <f t="shared" si="0"/>
        <v>791.75</v>
      </c>
      <c r="AA11" s="408">
        <f t="shared" si="0"/>
        <v>754.17</v>
      </c>
      <c r="AB11" s="408">
        <f t="shared" si="0"/>
        <v>0</v>
      </c>
      <c r="AC11" s="408">
        <f t="shared" si="0"/>
        <v>0</v>
      </c>
      <c r="AD11" s="408">
        <f t="shared" si="0"/>
        <v>754.17</v>
      </c>
      <c r="AE11" s="407">
        <f t="shared" si="0"/>
        <v>754.17</v>
      </c>
      <c r="AF11" s="407">
        <f t="shared" si="0"/>
        <v>754.17</v>
      </c>
      <c r="AG11" s="408">
        <f t="shared" si="0"/>
        <v>754.17</v>
      </c>
      <c r="AH11" s="408">
        <f t="shared" si="0"/>
        <v>754.17</v>
      </c>
      <c r="AI11" s="407">
        <f t="shared" si="0"/>
        <v>754.17</v>
      </c>
      <c r="AJ11" s="408">
        <f t="shared" si="0"/>
        <v>754.17</v>
      </c>
      <c r="AK11" s="407">
        <f t="shared" si="0"/>
        <v>754.17</v>
      </c>
      <c r="AL11" s="408">
        <f t="shared" si="0"/>
        <v>754.17</v>
      </c>
      <c r="AM11" s="407">
        <f t="shared" si="0"/>
        <v>754.17</v>
      </c>
      <c r="AN11" s="408">
        <f t="shared" si="0"/>
        <v>754.17</v>
      </c>
      <c r="AO11" s="408">
        <f t="shared" si="0"/>
        <v>754.17</v>
      </c>
      <c r="AP11" s="407">
        <f t="shared" si="0"/>
        <v>754.17</v>
      </c>
      <c r="AQ11" s="408">
        <f t="shared" si="0"/>
        <v>754.17</v>
      </c>
      <c r="AR11" s="407">
        <f t="shared" si="0"/>
        <v>754.17</v>
      </c>
      <c r="AS11" s="407">
        <f t="shared" si="0"/>
        <v>754.17</v>
      </c>
      <c r="AT11" s="408">
        <f t="shared" si="0"/>
        <v>754.17</v>
      </c>
    </row>
    <row r="12" spans="1:46">
      <c r="A12" s="409" t="s">
        <v>161</v>
      </c>
      <c r="B12" s="911" t="s">
        <v>833</v>
      </c>
      <c r="C12" s="912"/>
      <c r="D12" s="912"/>
      <c r="E12" s="912"/>
      <c r="F12" s="912"/>
      <c r="G12" s="912"/>
      <c r="H12" s="912"/>
      <c r="I12" s="912"/>
      <c r="J12" s="913"/>
      <c r="K12" s="410"/>
      <c r="L12" s="407"/>
      <c r="M12" s="407"/>
      <c r="N12" s="408"/>
      <c r="O12" s="408"/>
      <c r="P12" s="407"/>
      <c r="Q12" s="407"/>
      <c r="R12" s="714"/>
      <c r="S12" s="714">
        <f>($S$10+$S$11)/220*7*15.2*0.2</f>
        <v>316.11246545454549</v>
      </c>
      <c r="T12" s="714"/>
      <c r="U12" s="714">
        <f>($U$10+$U$11)/220*7*15.2*0.2</f>
        <v>316.11246545454549</v>
      </c>
      <c r="V12" s="408"/>
      <c r="W12" s="408"/>
      <c r="X12" s="408"/>
      <c r="Y12" s="408"/>
      <c r="Z12" s="408"/>
      <c r="AA12" s="408"/>
      <c r="AB12" s="408"/>
      <c r="AC12" s="408"/>
      <c r="AD12" s="408"/>
      <c r="AE12" s="407"/>
      <c r="AF12" s="407"/>
      <c r="AG12" s="408"/>
      <c r="AH12" s="408"/>
      <c r="AI12" s="407"/>
      <c r="AJ12" s="408"/>
      <c r="AK12" s="407"/>
      <c r="AL12" s="408"/>
      <c r="AM12" s="407"/>
      <c r="AN12" s="408"/>
      <c r="AO12" s="408"/>
      <c r="AP12" s="407"/>
      <c r="AQ12" s="408"/>
      <c r="AR12" s="407"/>
      <c r="AS12" s="407"/>
      <c r="AT12" s="408"/>
    </row>
    <row r="13" spans="1:46">
      <c r="A13" s="409" t="s">
        <v>165</v>
      </c>
      <c r="B13" s="911" t="s">
        <v>834</v>
      </c>
      <c r="C13" s="912"/>
      <c r="D13" s="912"/>
      <c r="E13" s="912"/>
      <c r="F13" s="912"/>
      <c r="G13" s="912"/>
      <c r="H13" s="912"/>
      <c r="I13" s="912"/>
      <c r="J13" s="913"/>
      <c r="K13" s="410"/>
      <c r="L13" s="407"/>
      <c r="M13" s="407"/>
      <c r="N13" s="408"/>
      <c r="O13" s="408"/>
      <c r="P13" s="407"/>
      <c r="Q13" s="407"/>
      <c r="R13" s="714"/>
      <c r="S13" s="714">
        <f>($S$10+$S$11)/220*(60-52.5)/52.5*7*15.2*0.2</f>
        <v>45.158923636363639</v>
      </c>
      <c r="T13" s="714"/>
      <c r="U13" s="714">
        <f>($S$10+$S$11)/220*(60-52.5)/52.5*7*15.2*0.2</f>
        <v>45.158923636363639</v>
      </c>
      <c r="V13" s="408"/>
      <c r="W13" s="408"/>
      <c r="X13" s="408"/>
      <c r="Y13" s="408"/>
      <c r="Z13" s="408"/>
      <c r="AA13" s="408"/>
      <c r="AB13" s="408"/>
      <c r="AC13" s="408"/>
      <c r="AD13" s="408"/>
      <c r="AE13" s="407"/>
      <c r="AF13" s="407"/>
      <c r="AG13" s="408"/>
      <c r="AH13" s="408"/>
      <c r="AI13" s="407"/>
      <c r="AJ13" s="408"/>
      <c r="AK13" s="407"/>
      <c r="AL13" s="408"/>
      <c r="AM13" s="407"/>
      <c r="AN13" s="408"/>
      <c r="AO13" s="408"/>
      <c r="AP13" s="407"/>
      <c r="AQ13" s="408"/>
      <c r="AR13" s="407"/>
      <c r="AS13" s="407"/>
      <c r="AT13" s="408"/>
    </row>
    <row r="14" spans="1:46">
      <c r="A14" s="964" t="s">
        <v>835</v>
      </c>
      <c r="B14" s="1002"/>
      <c r="C14" s="1002"/>
      <c r="D14" s="1002"/>
      <c r="E14" s="1002"/>
      <c r="F14" s="1002"/>
      <c r="G14" s="1002"/>
      <c r="H14" s="1002"/>
      <c r="I14" s="1002"/>
      <c r="J14" s="1002"/>
      <c r="K14" s="411">
        <f t="shared" ref="K14:AT14" si="1">SUM(K10:K11)</f>
        <v>13940.189999999999</v>
      </c>
      <c r="L14" s="411">
        <f t="shared" si="1"/>
        <v>3921.7</v>
      </c>
      <c r="M14" s="411">
        <f t="shared" si="1"/>
        <v>3268.08</v>
      </c>
      <c r="N14" s="412">
        <f t="shared" si="1"/>
        <v>3268.08</v>
      </c>
      <c r="O14" s="412">
        <f t="shared" si="1"/>
        <v>2685.8100000000004</v>
      </c>
      <c r="P14" s="411">
        <f t="shared" si="1"/>
        <v>3268.08</v>
      </c>
      <c r="Q14" s="411">
        <f t="shared" si="1"/>
        <v>3268.08</v>
      </c>
      <c r="R14" s="715">
        <f t="shared" si="1"/>
        <v>3268.08</v>
      </c>
      <c r="S14" s="715">
        <f>SUM(S10:S13)</f>
        <v>3629.3513890909094</v>
      </c>
      <c r="T14" s="715">
        <f t="shared" si="1"/>
        <v>3268.08</v>
      </c>
      <c r="U14" s="715">
        <f>SUM(U10:U13)</f>
        <v>3629.3513890909094</v>
      </c>
      <c r="V14" s="412">
        <f t="shared" si="1"/>
        <v>3268.08</v>
      </c>
      <c r="W14" s="412">
        <f t="shared" si="1"/>
        <v>3268.08</v>
      </c>
      <c r="X14" s="412">
        <f t="shared" si="1"/>
        <v>3268.08</v>
      </c>
      <c r="Y14" s="412">
        <f t="shared" si="1"/>
        <v>2685.8100000000004</v>
      </c>
      <c r="Z14" s="412">
        <f t="shared" si="1"/>
        <v>3430.9</v>
      </c>
      <c r="AA14" s="412">
        <f t="shared" si="1"/>
        <v>3268.08</v>
      </c>
      <c r="AB14" s="412">
        <f t="shared" si="1"/>
        <v>2513.91</v>
      </c>
      <c r="AC14" s="412">
        <f t="shared" ref="AC14" si="2">SUM(AC10:AC11)</f>
        <v>2066.0100000000002</v>
      </c>
      <c r="AD14" s="412">
        <f t="shared" si="1"/>
        <v>3268.08</v>
      </c>
      <c r="AE14" s="411">
        <f t="shared" si="1"/>
        <v>3268.08</v>
      </c>
      <c r="AF14" s="411">
        <f t="shared" si="1"/>
        <v>3268.08</v>
      </c>
      <c r="AG14" s="412">
        <f t="shared" si="1"/>
        <v>3268.08</v>
      </c>
      <c r="AH14" s="412">
        <f t="shared" si="1"/>
        <v>3268.08</v>
      </c>
      <c r="AI14" s="411">
        <f t="shared" si="1"/>
        <v>3268.08</v>
      </c>
      <c r="AJ14" s="412">
        <f t="shared" si="1"/>
        <v>3268.08</v>
      </c>
      <c r="AK14" s="411">
        <f t="shared" si="1"/>
        <v>3268.08</v>
      </c>
      <c r="AL14" s="412">
        <f t="shared" si="1"/>
        <v>3268.08</v>
      </c>
      <c r="AM14" s="411">
        <f t="shared" si="1"/>
        <v>3268.08</v>
      </c>
      <c r="AN14" s="412">
        <f t="shared" si="1"/>
        <v>3268.08</v>
      </c>
      <c r="AO14" s="412">
        <f t="shared" si="1"/>
        <v>3268.08</v>
      </c>
      <c r="AP14" s="411">
        <f t="shared" si="1"/>
        <v>3268.08</v>
      </c>
      <c r="AQ14" s="412">
        <f t="shared" si="1"/>
        <v>3268.08</v>
      </c>
      <c r="AR14" s="411">
        <f t="shared" si="1"/>
        <v>3268.08</v>
      </c>
      <c r="AS14" s="411">
        <f t="shared" si="1"/>
        <v>3268.08</v>
      </c>
      <c r="AT14" s="412">
        <f t="shared" si="1"/>
        <v>3268.08</v>
      </c>
    </row>
    <row r="15" spans="1:46" s="413" customFormat="1" ht="15" customHeight="1">
      <c r="K15" s="477"/>
      <c r="L15" s="414"/>
      <c r="M15" s="414"/>
      <c r="P15" s="414"/>
      <c r="Q15" s="414"/>
      <c r="R15" s="585"/>
      <c r="S15" s="585"/>
      <c r="T15" s="585"/>
      <c r="U15" s="585"/>
      <c r="AE15" s="477"/>
      <c r="AF15" s="414"/>
      <c r="AI15" s="414"/>
      <c r="AK15" s="414"/>
      <c r="AM15" s="414"/>
      <c r="AP15" s="414"/>
      <c r="AR15" s="414"/>
      <c r="AS15" s="414"/>
    </row>
    <row r="16" spans="1:46">
      <c r="A16" s="899" t="s">
        <v>836</v>
      </c>
      <c r="B16" s="900"/>
      <c r="C16" s="900"/>
      <c r="D16" s="900"/>
      <c r="E16" s="900"/>
      <c r="F16" s="900"/>
      <c r="G16" s="900"/>
      <c r="H16" s="900"/>
      <c r="I16" s="900"/>
      <c r="J16" s="901"/>
      <c r="K16" s="902" t="s">
        <v>830</v>
      </c>
      <c r="L16" s="902" t="s">
        <v>830</v>
      </c>
      <c r="M16" s="902" t="s">
        <v>830</v>
      </c>
      <c r="N16" s="904" t="s">
        <v>830</v>
      </c>
      <c r="O16" s="904" t="s">
        <v>830</v>
      </c>
      <c r="P16" s="902" t="s">
        <v>830</v>
      </c>
      <c r="Q16" s="902" t="s">
        <v>830</v>
      </c>
      <c r="R16" s="909" t="s">
        <v>830</v>
      </c>
      <c r="S16" s="909" t="s">
        <v>830</v>
      </c>
      <c r="T16" s="909" t="s">
        <v>830</v>
      </c>
      <c r="U16" s="914" t="s">
        <v>830</v>
      </c>
      <c r="V16" s="875" t="s">
        <v>830</v>
      </c>
      <c r="W16" s="875" t="s">
        <v>830</v>
      </c>
      <c r="X16" s="875" t="s">
        <v>830</v>
      </c>
      <c r="Y16" s="875" t="s">
        <v>830</v>
      </c>
      <c r="Z16" s="875" t="s">
        <v>830</v>
      </c>
      <c r="AA16" s="875" t="s">
        <v>830</v>
      </c>
      <c r="AB16" s="875" t="s">
        <v>830</v>
      </c>
      <c r="AC16" s="875" t="s">
        <v>830</v>
      </c>
      <c r="AD16" s="875" t="s">
        <v>830</v>
      </c>
      <c r="AE16" s="916" t="s">
        <v>830</v>
      </c>
      <c r="AF16" s="902" t="s">
        <v>830</v>
      </c>
      <c r="AG16" s="904" t="s">
        <v>830</v>
      </c>
      <c r="AH16" s="904" t="s">
        <v>830</v>
      </c>
      <c r="AI16" s="902" t="s">
        <v>830</v>
      </c>
      <c r="AJ16" s="904" t="s">
        <v>830</v>
      </c>
      <c r="AK16" s="902" t="s">
        <v>830</v>
      </c>
      <c r="AL16" s="904" t="s">
        <v>830</v>
      </c>
      <c r="AM16" s="902" t="s">
        <v>830</v>
      </c>
      <c r="AN16" s="904" t="s">
        <v>830</v>
      </c>
      <c r="AO16" s="904" t="s">
        <v>830</v>
      </c>
      <c r="AP16" s="902" t="s">
        <v>830</v>
      </c>
      <c r="AQ16" s="904" t="s">
        <v>830</v>
      </c>
      <c r="AR16" s="902" t="s">
        <v>830</v>
      </c>
      <c r="AS16" s="902" t="s">
        <v>830</v>
      </c>
      <c r="AT16" s="904" t="s">
        <v>830</v>
      </c>
    </row>
    <row r="17" spans="1:46">
      <c r="A17" s="1005" t="s">
        <v>837</v>
      </c>
      <c r="B17" s="1006"/>
      <c r="C17" s="1006"/>
      <c r="D17" s="1006"/>
      <c r="E17" s="1006"/>
      <c r="F17" s="1006"/>
      <c r="G17" s="1006"/>
      <c r="H17" s="1006"/>
      <c r="I17" s="1007"/>
      <c r="J17" s="392" t="s">
        <v>156</v>
      </c>
      <c r="K17" s="903"/>
      <c r="L17" s="903"/>
      <c r="M17" s="903"/>
      <c r="N17" s="905"/>
      <c r="O17" s="905"/>
      <c r="P17" s="903"/>
      <c r="Q17" s="903"/>
      <c r="R17" s="910"/>
      <c r="S17" s="910"/>
      <c r="T17" s="910"/>
      <c r="U17" s="915"/>
      <c r="V17" s="876"/>
      <c r="W17" s="876"/>
      <c r="X17" s="876"/>
      <c r="Y17" s="876"/>
      <c r="Z17" s="876"/>
      <c r="AA17" s="876"/>
      <c r="AB17" s="876"/>
      <c r="AC17" s="876"/>
      <c r="AD17" s="876"/>
      <c r="AE17" s="917"/>
      <c r="AF17" s="903"/>
      <c r="AG17" s="905"/>
      <c r="AH17" s="905"/>
      <c r="AI17" s="903"/>
      <c r="AJ17" s="905"/>
      <c r="AK17" s="903"/>
      <c r="AL17" s="905"/>
      <c r="AM17" s="903"/>
      <c r="AN17" s="905"/>
      <c r="AO17" s="905"/>
      <c r="AP17" s="903"/>
      <c r="AQ17" s="905"/>
      <c r="AR17" s="903"/>
      <c r="AS17" s="903"/>
      <c r="AT17" s="905"/>
    </row>
    <row r="18" spans="1:46" s="413" customFormat="1">
      <c r="A18" s="406" t="s">
        <v>157</v>
      </c>
      <c r="B18" s="1000" t="s">
        <v>838</v>
      </c>
      <c r="C18" s="1001"/>
      <c r="D18" s="1001"/>
      <c r="E18" s="1001"/>
      <c r="F18" s="1001"/>
      <c r="G18" s="1001"/>
      <c r="H18" s="1001"/>
      <c r="I18" s="1008"/>
      <c r="J18" s="415">
        <f>1/12</f>
        <v>8.3333333333333329E-2</v>
      </c>
      <c r="K18" s="407">
        <f t="shared" ref="K18:AE18" si="3">ROUND($J18*K$14,2)</f>
        <v>1161.68</v>
      </c>
      <c r="L18" s="407">
        <f t="shared" si="3"/>
        <v>326.81</v>
      </c>
      <c r="M18" s="407">
        <f t="shared" si="3"/>
        <v>272.33999999999997</v>
      </c>
      <c r="N18" s="416">
        <f t="shared" si="3"/>
        <v>272.33999999999997</v>
      </c>
      <c r="O18" s="416">
        <f t="shared" si="3"/>
        <v>223.82</v>
      </c>
      <c r="P18" s="417">
        <f t="shared" si="3"/>
        <v>272.33999999999997</v>
      </c>
      <c r="Q18" s="417">
        <f t="shared" si="3"/>
        <v>272.33999999999997</v>
      </c>
      <c r="R18" s="716">
        <f t="shared" si="3"/>
        <v>272.33999999999997</v>
      </c>
      <c r="S18" s="716">
        <f t="shared" si="3"/>
        <v>302.45</v>
      </c>
      <c r="T18" s="716">
        <f t="shared" si="3"/>
        <v>272.33999999999997</v>
      </c>
      <c r="U18" s="716">
        <f t="shared" si="3"/>
        <v>302.45</v>
      </c>
      <c r="V18" s="416">
        <f t="shared" si="3"/>
        <v>272.33999999999997</v>
      </c>
      <c r="W18" s="416">
        <f t="shared" si="3"/>
        <v>272.33999999999997</v>
      </c>
      <c r="X18" s="416">
        <f t="shared" si="3"/>
        <v>272.33999999999997</v>
      </c>
      <c r="Y18" s="416">
        <f t="shared" si="3"/>
        <v>223.82</v>
      </c>
      <c r="Z18" s="416">
        <f t="shared" si="3"/>
        <v>285.91000000000003</v>
      </c>
      <c r="AA18" s="416">
        <f t="shared" si="3"/>
        <v>272.33999999999997</v>
      </c>
      <c r="AB18" s="416">
        <f t="shared" si="3"/>
        <v>209.49</v>
      </c>
      <c r="AC18" s="416">
        <f t="shared" si="3"/>
        <v>172.17</v>
      </c>
      <c r="AD18" s="416">
        <f t="shared" si="3"/>
        <v>272.33999999999997</v>
      </c>
      <c r="AE18" s="417">
        <f t="shared" si="3"/>
        <v>272.33999999999997</v>
      </c>
      <c r="AF18" s="417">
        <f t="shared" ref="P18:AR19" si="4">ROUND($J18*AF$14,2)</f>
        <v>272.33999999999997</v>
      </c>
      <c r="AG18" s="416">
        <f t="shared" si="4"/>
        <v>272.33999999999997</v>
      </c>
      <c r="AH18" s="416">
        <f t="shared" si="4"/>
        <v>272.33999999999997</v>
      </c>
      <c r="AI18" s="417">
        <f t="shared" si="4"/>
        <v>272.33999999999997</v>
      </c>
      <c r="AJ18" s="416">
        <f t="shared" si="4"/>
        <v>272.33999999999997</v>
      </c>
      <c r="AK18" s="417">
        <f t="shared" si="4"/>
        <v>272.33999999999997</v>
      </c>
      <c r="AL18" s="416">
        <f t="shared" si="4"/>
        <v>272.33999999999997</v>
      </c>
      <c r="AM18" s="417">
        <f t="shared" si="4"/>
        <v>272.33999999999997</v>
      </c>
      <c r="AN18" s="416">
        <f t="shared" si="4"/>
        <v>272.33999999999997</v>
      </c>
      <c r="AO18" s="416">
        <f t="shared" si="4"/>
        <v>272.33999999999997</v>
      </c>
      <c r="AP18" s="417">
        <f t="shared" si="4"/>
        <v>272.33999999999997</v>
      </c>
      <c r="AQ18" s="416">
        <f t="shared" si="4"/>
        <v>272.33999999999997</v>
      </c>
      <c r="AR18" s="417">
        <f t="shared" si="4"/>
        <v>272.33999999999997</v>
      </c>
      <c r="AS18" s="417">
        <f t="shared" ref="AS18:AT19" si="5">ROUND($J18*AS$14,2)</f>
        <v>272.33999999999997</v>
      </c>
      <c r="AT18" s="416">
        <f t="shared" si="5"/>
        <v>272.33999999999997</v>
      </c>
    </row>
    <row r="19" spans="1:46" s="413" customFormat="1">
      <c r="A19" s="406" t="s">
        <v>159</v>
      </c>
      <c r="B19" s="911" t="s">
        <v>839</v>
      </c>
      <c r="C19" s="912"/>
      <c r="D19" s="912"/>
      <c r="E19" s="912"/>
      <c r="F19" s="912"/>
      <c r="G19" s="912"/>
      <c r="H19" s="912"/>
      <c r="I19" s="913"/>
      <c r="J19" s="418">
        <f>1/3/12</f>
        <v>2.7777777777777776E-2</v>
      </c>
      <c r="K19" s="407">
        <f>ROUND($J19*K$14,2)</f>
        <v>387.23</v>
      </c>
      <c r="L19" s="407">
        <f>ROUND($J19*L$14,2)</f>
        <v>108.94</v>
      </c>
      <c r="M19" s="407">
        <f>ROUND($J19*M$14,2)</f>
        <v>90.78</v>
      </c>
      <c r="N19" s="416">
        <f>ROUND($J19*N$14,2)</f>
        <v>90.78</v>
      </c>
      <c r="O19" s="416">
        <f>ROUND($J19*O$14,2)</f>
        <v>74.61</v>
      </c>
      <c r="P19" s="417">
        <f t="shared" si="4"/>
        <v>90.78</v>
      </c>
      <c r="Q19" s="417">
        <f t="shared" si="4"/>
        <v>90.78</v>
      </c>
      <c r="R19" s="716">
        <f t="shared" si="4"/>
        <v>90.78</v>
      </c>
      <c r="S19" s="716">
        <f t="shared" si="4"/>
        <v>100.82</v>
      </c>
      <c r="T19" s="716">
        <f t="shared" si="4"/>
        <v>90.78</v>
      </c>
      <c r="U19" s="716">
        <f t="shared" si="4"/>
        <v>100.82</v>
      </c>
      <c r="V19" s="416">
        <f t="shared" si="4"/>
        <v>90.78</v>
      </c>
      <c r="W19" s="416">
        <f t="shared" si="4"/>
        <v>90.78</v>
      </c>
      <c r="X19" s="416">
        <f t="shared" si="4"/>
        <v>90.78</v>
      </c>
      <c r="Y19" s="416">
        <f t="shared" si="4"/>
        <v>74.61</v>
      </c>
      <c r="Z19" s="416">
        <f t="shared" si="4"/>
        <v>95.3</v>
      </c>
      <c r="AA19" s="416">
        <f t="shared" si="4"/>
        <v>90.78</v>
      </c>
      <c r="AB19" s="416">
        <f t="shared" si="4"/>
        <v>69.83</v>
      </c>
      <c r="AC19" s="416">
        <f t="shared" si="4"/>
        <v>57.39</v>
      </c>
      <c r="AD19" s="416">
        <f t="shared" si="4"/>
        <v>90.78</v>
      </c>
      <c r="AE19" s="417">
        <f t="shared" si="4"/>
        <v>90.78</v>
      </c>
      <c r="AF19" s="417">
        <f t="shared" si="4"/>
        <v>90.78</v>
      </c>
      <c r="AG19" s="416">
        <f t="shared" si="4"/>
        <v>90.78</v>
      </c>
      <c r="AH19" s="416">
        <f t="shared" si="4"/>
        <v>90.78</v>
      </c>
      <c r="AI19" s="417">
        <f t="shared" si="4"/>
        <v>90.78</v>
      </c>
      <c r="AJ19" s="416">
        <f t="shared" si="4"/>
        <v>90.78</v>
      </c>
      <c r="AK19" s="417">
        <f t="shared" si="4"/>
        <v>90.78</v>
      </c>
      <c r="AL19" s="416">
        <f t="shared" si="4"/>
        <v>90.78</v>
      </c>
      <c r="AM19" s="417">
        <f t="shared" si="4"/>
        <v>90.78</v>
      </c>
      <c r="AN19" s="416">
        <f t="shared" si="4"/>
        <v>90.78</v>
      </c>
      <c r="AO19" s="416">
        <f t="shared" si="4"/>
        <v>90.78</v>
      </c>
      <c r="AP19" s="417">
        <f t="shared" si="4"/>
        <v>90.78</v>
      </c>
      <c r="AQ19" s="416">
        <f t="shared" si="4"/>
        <v>90.78</v>
      </c>
      <c r="AR19" s="417">
        <f t="shared" si="4"/>
        <v>90.78</v>
      </c>
      <c r="AS19" s="417">
        <f t="shared" si="5"/>
        <v>90.78</v>
      </c>
      <c r="AT19" s="416">
        <f t="shared" si="5"/>
        <v>90.78</v>
      </c>
    </row>
    <row r="20" spans="1:46" s="413" customFormat="1">
      <c r="A20" s="1012" t="s">
        <v>840</v>
      </c>
      <c r="B20" s="1013"/>
      <c r="C20" s="1013"/>
      <c r="D20" s="1013"/>
      <c r="E20" s="1013"/>
      <c r="F20" s="1013"/>
      <c r="G20" s="1013"/>
      <c r="H20" s="1013"/>
      <c r="I20" s="1014"/>
      <c r="J20" s="419">
        <f t="shared" ref="J20:AR20" si="6">SUM(J18:J19)</f>
        <v>0.1111111111111111</v>
      </c>
      <c r="K20" s="420">
        <f t="shared" si="6"/>
        <v>1548.91</v>
      </c>
      <c r="L20" s="420">
        <f t="shared" si="6"/>
        <v>435.75</v>
      </c>
      <c r="M20" s="420">
        <f t="shared" si="6"/>
        <v>363.12</v>
      </c>
      <c r="N20" s="421">
        <f t="shared" si="6"/>
        <v>363.12</v>
      </c>
      <c r="O20" s="421">
        <f t="shared" si="6"/>
        <v>298.43</v>
      </c>
      <c r="P20" s="422">
        <f t="shared" si="6"/>
        <v>363.12</v>
      </c>
      <c r="Q20" s="422">
        <f t="shared" si="6"/>
        <v>363.12</v>
      </c>
      <c r="R20" s="717">
        <f t="shared" ref="R20:T20" si="7">SUM(R18:R19)</f>
        <v>363.12</v>
      </c>
      <c r="S20" s="717">
        <f t="shared" si="7"/>
        <v>403.27</v>
      </c>
      <c r="T20" s="717">
        <f t="shared" si="7"/>
        <v>363.12</v>
      </c>
      <c r="U20" s="717">
        <f t="shared" si="6"/>
        <v>403.27</v>
      </c>
      <c r="V20" s="421">
        <f t="shared" ref="V20:W20" si="8">SUM(V18:V19)</f>
        <v>363.12</v>
      </c>
      <c r="W20" s="421">
        <f t="shared" si="8"/>
        <v>363.12</v>
      </c>
      <c r="X20" s="421">
        <f t="shared" ref="X20:Y20" si="9">SUM(X18:X19)</f>
        <v>363.12</v>
      </c>
      <c r="Y20" s="421">
        <f t="shared" si="9"/>
        <v>298.43</v>
      </c>
      <c r="Z20" s="421">
        <f t="shared" ref="Z20:AA20" si="10">SUM(Z18:Z19)</f>
        <v>381.21000000000004</v>
      </c>
      <c r="AA20" s="421">
        <f t="shared" si="10"/>
        <v>363.12</v>
      </c>
      <c r="AB20" s="421">
        <f t="shared" ref="AB20:AD20" si="11">SUM(AB18:AB19)</f>
        <v>279.32</v>
      </c>
      <c r="AC20" s="421">
        <f t="shared" si="11"/>
        <v>229.56</v>
      </c>
      <c r="AD20" s="421">
        <f t="shared" si="11"/>
        <v>363.12</v>
      </c>
      <c r="AE20" s="422">
        <f t="shared" si="6"/>
        <v>363.12</v>
      </c>
      <c r="AF20" s="422">
        <f t="shared" si="6"/>
        <v>363.12</v>
      </c>
      <c r="AG20" s="421">
        <f t="shared" si="6"/>
        <v>363.12</v>
      </c>
      <c r="AH20" s="421">
        <f t="shared" si="6"/>
        <v>363.12</v>
      </c>
      <c r="AI20" s="422">
        <f t="shared" si="6"/>
        <v>363.12</v>
      </c>
      <c r="AJ20" s="421">
        <f t="shared" si="6"/>
        <v>363.12</v>
      </c>
      <c r="AK20" s="422">
        <f t="shared" si="6"/>
        <v>363.12</v>
      </c>
      <c r="AL20" s="421">
        <f t="shared" si="6"/>
        <v>363.12</v>
      </c>
      <c r="AM20" s="422">
        <f t="shared" si="6"/>
        <v>363.12</v>
      </c>
      <c r="AN20" s="421">
        <f t="shared" si="6"/>
        <v>363.12</v>
      </c>
      <c r="AO20" s="421">
        <f t="shared" ref="AO20" si="12">SUM(AO18:AO19)</f>
        <v>363.12</v>
      </c>
      <c r="AP20" s="422">
        <f t="shared" si="6"/>
        <v>363.12</v>
      </c>
      <c r="AQ20" s="421">
        <f t="shared" ref="AQ20" si="13">SUM(AQ18:AQ19)</f>
        <v>363.12</v>
      </c>
      <c r="AR20" s="422">
        <f t="shared" si="6"/>
        <v>363.12</v>
      </c>
      <c r="AS20" s="422">
        <f>SUM(AS18:AS19)</f>
        <v>363.12</v>
      </c>
      <c r="AT20" s="421">
        <f>SUM(AT18:AT19)</f>
        <v>363.12</v>
      </c>
    </row>
    <row r="21" spans="1:46" s="413" customFormat="1">
      <c r="K21" s="414"/>
      <c r="L21" s="414"/>
      <c r="M21" s="414"/>
      <c r="P21" s="414"/>
      <c r="Q21" s="414"/>
      <c r="R21" s="585"/>
      <c r="S21" s="585"/>
      <c r="T21" s="585"/>
      <c r="U21" s="585"/>
      <c r="AE21" s="477"/>
      <c r="AF21" s="414"/>
      <c r="AI21" s="414"/>
      <c r="AK21" s="414"/>
      <c r="AM21" s="414"/>
      <c r="AP21" s="414"/>
      <c r="AR21" s="414"/>
      <c r="AS21" s="414"/>
    </row>
    <row r="22" spans="1:46">
      <c r="A22" s="929" t="s">
        <v>154</v>
      </c>
      <c r="B22" s="930"/>
      <c r="C22" s="930"/>
      <c r="D22" s="930"/>
      <c r="E22" s="930"/>
      <c r="F22" s="930"/>
      <c r="G22" s="930"/>
      <c r="H22" s="930"/>
      <c r="I22" s="930"/>
      <c r="J22" s="931"/>
      <c r="K22" s="902" t="s">
        <v>830</v>
      </c>
      <c r="L22" s="902" t="s">
        <v>830</v>
      </c>
      <c r="M22" s="902" t="s">
        <v>830</v>
      </c>
      <c r="N22" s="904" t="s">
        <v>830</v>
      </c>
      <c r="O22" s="904" t="s">
        <v>830</v>
      </c>
      <c r="P22" s="902" t="s">
        <v>830</v>
      </c>
      <c r="Q22" s="902" t="s">
        <v>830</v>
      </c>
      <c r="R22" s="909" t="s">
        <v>830</v>
      </c>
      <c r="S22" s="909" t="s">
        <v>830</v>
      </c>
      <c r="T22" s="909" t="s">
        <v>830</v>
      </c>
      <c r="U22" s="914" t="s">
        <v>830</v>
      </c>
      <c r="V22" s="875" t="s">
        <v>830</v>
      </c>
      <c r="W22" s="875" t="s">
        <v>830</v>
      </c>
      <c r="X22" s="875" t="s">
        <v>830</v>
      </c>
      <c r="Y22" s="875" t="s">
        <v>830</v>
      </c>
      <c r="Z22" s="875" t="s">
        <v>830</v>
      </c>
      <c r="AA22" s="875" t="s">
        <v>830</v>
      </c>
      <c r="AB22" s="875" t="s">
        <v>830</v>
      </c>
      <c r="AC22" s="875" t="s">
        <v>830</v>
      </c>
      <c r="AD22" s="875" t="s">
        <v>830</v>
      </c>
      <c r="AE22" s="916" t="s">
        <v>830</v>
      </c>
      <c r="AF22" s="902" t="s">
        <v>830</v>
      </c>
      <c r="AG22" s="904" t="s">
        <v>830</v>
      </c>
      <c r="AH22" s="904" t="s">
        <v>830</v>
      </c>
      <c r="AI22" s="902" t="s">
        <v>830</v>
      </c>
      <c r="AJ22" s="904" t="s">
        <v>830</v>
      </c>
      <c r="AK22" s="902" t="s">
        <v>830</v>
      </c>
      <c r="AL22" s="904" t="s">
        <v>830</v>
      </c>
      <c r="AM22" s="902" t="s">
        <v>830</v>
      </c>
      <c r="AN22" s="904" t="s">
        <v>830</v>
      </c>
      <c r="AO22" s="904" t="s">
        <v>830</v>
      </c>
      <c r="AP22" s="902" t="s">
        <v>830</v>
      </c>
      <c r="AQ22" s="904" t="s">
        <v>830</v>
      </c>
      <c r="AR22" s="902" t="s">
        <v>830</v>
      </c>
      <c r="AS22" s="902" t="s">
        <v>830</v>
      </c>
      <c r="AT22" s="904" t="s">
        <v>830</v>
      </c>
    </row>
    <row r="23" spans="1:46">
      <c r="A23" s="423" t="s">
        <v>155</v>
      </c>
      <c r="B23" s="424"/>
      <c r="C23" s="424"/>
      <c r="D23" s="424"/>
      <c r="E23" s="424"/>
      <c r="F23" s="425"/>
      <c r="G23" s="425"/>
      <c r="H23" s="425"/>
      <c r="I23" s="426"/>
      <c r="J23" s="392" t="s">
        <v>156</v>
      </c>
      <c r="K23" s="903"/>
      <c r="L23" s="903"/>
      <c r="M23" s="903"/>
      <c r="N23" s="905"/>
      <c r="O23" s="905"/>
      <c r="P23" s="903"/>
      <c r="Q23" s="903"/>
      <c r="R23" s="910"/>
      <c r="S23" s="910"/>
      <c r="T23" s="910"/>
      <c r="U23" s="915"/>
      <c r="V23" s="876"/>
      <c r="W23" s="876"/>
      <c r="X23" s="876"/>
      <c r="Y23" s="876"/>
      <c r="Z23" s="876"/>
      <c r="AA23" s="876"/>
      <c r="AB23" s="876"/>
      <c r="AC23" s="876"/>
      <c r="AD23" s="876"/>
      <c r="AE23" s="917"/>
      <c r="AF23" s="903"/>
      <c r="AG23" s="905"/>
      <c r="AH23" s="905"/>
      <c r="AI23" s="903"/>
      <c r="AJ23" s="905"/>
      <c r="AK23" s="903"/>
      <c r="AL23" s="905"/>
      <c r="AM23" s="903"/>
      <c r="AN23" s="905"/>
      <c r="AO23" s="905"/>
      <c r="AP23" s="903"/>
      <c r="AQ23" s="905"/>
      <c r="AR23" s="903"/>
      <c r="AS23" s="903"/>
      <c r="AT23" s="905"/>
    </row>
    <row r="24" spans="1:46">
      <c r="A24" s="427" t="s">
        <v>157</v>
      </c>
      <c r="B24" s="1009" t="s">
        <v>158</v>
      </c>
      <c r="C24" s="1010"/>
      <c r="D24" s="1010"/>
      <c r="E24" s="1010"/>
      <c r="F24" s="1010"/>
      <c r="G24" s="1010"/>
      <c r="H24" s="1010"/>
      <c r="I24" s="1011"/>
      <c r="J24" s="648">
        <f>'Dados - Composição PCFP'!$G$45</f>
        <v>0.2</v>
      </c>
      <c r="K24" s="407">
        <f t="shared" ref="K24:AE26" si="14">ROUND($J24*(K$14+K$20),2)</f>
        <v>3097.82</v>
      </c>
      <c r="L24" s="407">
        <f t="shared" si="14"/>
        <v>871.49</v>
      </c>
      <c r="M24" s="407">
        <f t="shared" si="14"/>
        <v>726.24</v>
      </c>
      <c r="N24" s="428">
        <f t="shared" si="14"/>
        <v>726.24</v>
      </c>
      <c r="O24" s="428">
        <f t="shared" si="14"/>
        <v>596.85</v>
      </c>
      <c r="P24" s="429">
        <f t="shared" si="14"/>
        <v>726.24</v>
      </c>
      <c r="Q24" s="429">
        <f t="shared" si="14"/>
        <v>726.24</v>
      </c>
      <c r="R24" s="718">
        <f t="shared" si="14"/>
        <v>726.24</v>
      </c>
      <c r="S24" s="718">
        <f t="shared" si="14"/>
        <v>806.52</v>
      </c>
      <c r="T24" s="718">
        <f t="shared" si="14"/>
        <v>726.24</v>
      </c>
      <c r="U24" s="718">
        <f t="shared" si="14"/>
        <v>806.52</v>
      </c>
      <c r="V24" s="428">
        <f t="shared" si="14"/>
        <v>726.24</v>
      </c>
      <c r="W24" s="428">
        <f t="shared" si="14"/>
        <v>726.24</v>
      </c>
      <c r="X24" s="428">
        <f t="shared" si="14"/>
        <v>726.24</v>
      </c>
      <c r="Y24" s="428">
        <f t="shared" si="14"/>
        <v>596.85</v>
      </c>
      <c r="Z24" s="428">
        <f t="shared" si="14"/>
        <v>762.42</v>
      </c>
      <c r="AA24" s="428">
        <f t="shared" si="14"/>
        <v>726.24</v>
      </c>
      <c r="AB24" s="428">
        <f t="shared" si="14"/>
        <v>558.65</v>
      </c>
      <c r="AC24" s="428">
        <f t="shared" si="14"/>
        <v>459.11</v>
      </c>
      <c r="AD24" s="428">
        <f t="shared" si="14"/>
        <v>726.24</v>
      </c>
      <c r="AE24" s="429">
        <f t="shared" si="14"/>
        <v>726.24</v>
      </c>
      <c r="AF24" s="429">
        <f t="shared" ref="AF24:AH26" si="15">ROUND($J24*(AF$14+AF$20),2)</f>
        <v>726.24</v>
      </c>
      <c r="AG24" s="428">
        <f t="shared" si="15"/>
        <v>726.24</v>
      </c>
      <c r="AH24" s="428">
        <f t="shared" si="15"/>
        <v>726.24</v>
      </c>
      <c r="AI24" s="429">
        <f t="shared" ref="AI24:AM26" si="16">ROUND($J24*(AI$14+AI$20),2)</f>
        <v>726.24</v>
      </c>
      <c r="AJ24" s="428">
        <f t="shared" si="16"/>
        <v>726.24</v>
      </c>
      <c r="AK24" s="429">
        <f t="shared" si="16"/>
        <v>726.24</v>
      </c>
      <c r="AL24" s="428">
        <f t="shared" si="16"/>
        <v>726.24</v>
      </c>
      <c r="AM24" s="429">
        <f t="shared" si="16"/>
        <v>726.24</v>
      </c>
      <c r="AN24" s="428">
        <f t="shared" ref="AN24:AR26" si="17">ROUND($J24*(AN$14+AN$20),2)</f>
        <v>726.24</v>
      </c>
      <c r="AO24" s="428">
        <f t="shared" si="17"/>
        <v>726.24</v>
      </c>
      <c r="AP24" s="429">
        <f t="shared" si="17"/>
        <v>726.24</v>
      </c>
      <c r="AQ24" s="428">
        <f t="shared" si="17"/>
        <v>726.24</v>
      </c>
      <c r="AR24" s="429">
        <f t="shared" si="17"/>
        <v>726.24</v>
      </c>
      <c r="AS24" s="429">
        <f t="shared" ref="AS24:AT26" si="18">ROUND($J24*(AS$14+AS$20),2)</f>
        <v>726.24</v>
      </c>
      <c r="AT24" s="428">
        <f t="shared" si="18"/>
        <v>726.24</v>
      </c>
    </row>
    <row r="25" spans="1:46">
      <c r="A25" s="430" t="s">
        <v>159</v>
      </c>
      <c r="B25" s="1009" t="s">
        <v>160</v>
      </c>
      <c r="C25" s="1010"/>
      <c r="D25" s="1010"/>
      <c r="E25" s="1010"/>
      <c r="F25" s="1010"/>
      <c r="G25" s="1010"/>
      <c r="H25" s="1010"/>
      <c r="I25" s="1011"/>
      <c r="J25" s="648">
        <f>'Dados - Composição PCFP'!$G$46</f>
        <v>2.5000000000000001E-2</v>
      </c>
      <c r="K25" s="407">
        <f t="shared" si="14"/>
        <v>387.23</v>
      </c>
      <c r="L25" s="407">
        <f t="shared" si="14"/>
        <v>108.94</v>
      </c>
      <c r="M25" s="407">
        <f t="shared" si="14"/>
        <v>90.78</v>
      </c>
      <c r="N25" s="428">
        <f t="shared" si="14"/>
        <v>90.78</v>
      </c>
      <c r="O25" s="428">
        <f t="shared" si="14"/>
        <v>74.61</v>
      </c>
      <c r="P25" s="417">
        <f t="shared" si="14"/>
        <v>90.78</v>
      </c>
      <c r="Q25" s="417">
        <f t="shared" si="14"/>
        <v>90.78</v>
      </c>
      <c r="R25" s="718">
        <f t="shared" si="14"/>
        <v>90.78</v>
      </c>
      <c r="S25" s="718">
        <f t="shared" si="14"/>
        <v>100.82</v>
      </c>
      <c r="T25" s="718">
        <f t="shared" si="14"/>
        <v>90.78</v>
      </c>
      <c r="U25" s="718">
        <f t="shared" si="14"/>
        <v>100.82</v>
      </c>
      <c r="V25" s="428">
        <f t="shared" si="14"/>
        <v>90.78</v>
      </c>
      <c r="W25" s="428">
        <f t="shared" si="14"/>
        <v>90.78</v>
      </c>
      <c r="X25" s="428">
        <f t="shared" si="14"/>
        <v>90.78</v>
      </c>
      <c r="Y25" s="428">
        <f t="shared" si="14"/>
        <v>74.61</v>
      </c>
      <c r="Z25" s="428">
        <f t="shared" si="14"/>
        <v>95.3</v>
      </c>
      <c r="AA25" s="428">
        <f t="shared" si="14"/>
        <v>90.78</v>
      </c>
      <c r="AB25" s="428">
        <f t="shared" si="14"/>
        <v>69.83</v>
      </c>
      <c r="AC25" s="428">
        <f t="shared" si="14"/>
        <v>57.39</v>
      </c>
      <c r="AD25" s="428">
        <f t="shared" si="14"/>
        <v>90.78</v>
      </c>
      <c r="AE25" s="417">
        <f t="shared" si="14"/>
        <v>90.78</v>
      </c>
      <c r="AF25" s="417">
        <f t="shared" si="15"/>
        <v>90.78</v>
      </c>
      <c r="AG25" s="428">
        <f t="shared" si="15"/>
        <v>90.78</v>
      </c>
      <c r="AH25" s="428">
        <f t="shared" si="15"/>
        <v>90.78</v>
      </c>
      <c r="AI25" s="417">
        <f t="shared" si="16"/>
        <v>90.78</v>
      </c>
      <c r="AJ25" s="428">
        <f t="shared" si="16"/>
        <v>90.78</v>
      </c>
      <c r="AK25" s="417">
        <f t="shared" si="16"/>
        <v>90.78</v>
      </c>
      <c r="AL25" s="428">
        <f t="shared" si="16"/>
        <v>90.78</v>
      </c>
      <c r="AM25" s="417">
        <f t="shared" si="16"/>
        <v>90.78</v>
      </c>
      <c r="AN25" s="428">
        <f t="shared" si="17"/>
        <v>90.78</v>
      </c>
      <c r="AO25" s="428">
        <f t="shared" si="17"/>
        <v>90.78</v>
      </c>
      <c r="AP25" s="417">
        <f t="shared" si="17"/>
        <v>90.78</v>
      </c>
      <c r="AQ25" s="428">
        <f t="shared" si="17"/>
        <v>90.78</v>
      </c>
      <c r="AR25" s="417">
        <f t="shared" si="17"/>
        <v>90.78</v>
      </c>
      <c r="AS25" s="417">
        <f t="shared" si="18"/>
        <v>90.78</v>
      </c>
      <c r="AT25" s="428">
        <f t="shared" si="18"/>
        <v>90.78</v>
      </c>
    </row>
    <row r="26" spans="1:46">
      <c r="A26" s="941" t="s">
        <v>161</v>
      </c>
      <c r="B26" s="1026" t="s">
        <v>162</v>
      </c>
      <c r="C26" s="1027"/>
      <c r="D26" s="431" t="s">
        <v>841</v>
      </c>
      <c r="E26" s="432"/>
      <c r="F26" s="433"/>
      <c r="G26" s="433"/>
      <c r="H26" s="434"/>
      <c r="I26" s="651">
        <f>'Dados - Composição PCFP'!$F$47</f>
        <v>0.03</v>
      </c>
      <c r="J26" s="1015">
        <f>I26*I27</f>
        <v>0.03</v>
      </c>
      <c r="K26" s="925">
        <f>ROUND($J26*(K$14+K$20),2)</f>
        <v>464.67</v>
      </c>
      <c r="L26" s="925">
        <f t="shared" si="14"/>
        <v>130.72</v>
      </c>
      <c r="M26" s="925">
        <f t="shared" si="14"/>
        <v>108.94</v>
      </c>
      <c r="N26" s="927">
        <f t="shared" si="14"/>
        <v>108.94</v>
      </c>
      <c r="O26" s="927">
        <f t="shared" si="14"/>
        <v>89.53</v>
      </c>
      <c r="P26" s="925">
        <f t="shared" si="14"/>
        <v>108.94</v>
      </c>
      <c r="Q26" s="925">
        <f t="shared" si="14"/>
        <v>108.94</v>
      </c>
      <c r="R26" s="932">
        <f t="shared" si="14"/>
        <v>108.94</v>
      </c>
      <c r="S26" s="932">
        <f t="shared" si="14"/>
        <v>120.98</v>
      </c>
      <c r="T26" s="932">
        <f t="shared" si="14"/>
        <v>108.94</v>
      </c>
      <c r="U26" s="923">
        <f t="shared" si="14"/>
        <v>120.98</v>
      </c>
      <c r="V26" s="873">
        <f t="shared" si="14"/>
        <v>108.94</v>
      </c>
      <c r="W26" s="873">
        <f t="shared" si="14"/>
        <v>108.94</v>
      </c>
      <c r="X26" s="873">
        <f t="shared" si="14"/>
        <v>108.94</v>
      </c>
      <c r="Y26" s="873">
        <f t="shared" si="14"/>
        <v>89.53</v>
      </c>
      <c r="Z26" s="873">
        <f t="shared" si="14"/>
        <v>114.36</v>
      </c>
      <c r="AA26" s="873">
        <f t="shared" si="14"/>
        <v>108.94</v>
      </c>
      <c r="AB26" s="873">
        <f t="shared" si="14"/>
        <v>83.8</v>
      </c>
      <c r="AC26" s="873">
        <f t="shared" si="14"/>
        <v>68.87</v>
      </c>
      <c r="AD26" s="873">
        <f t="shared" si="14"/>
        <v>108.94</v>
      </c>
      <c r="AE26" s="925">
        <f t="shared" si="14"/>
        <v>108.94</v>
      </c>
      <c r="AF26" s="925">
        <f t="shared" si="15"/>
        <v>108.94</v>
      </c>
      <c r="AG26" s="927">
        <f t="shared" si="15"/>
        <v>108.94</v>
      </c>
      <c r="AH26" s="927">
        <f t="shared" si="15"/>
        <v>108.94</v>
      </c>
      <c r="AI26" s="925">
        <f t="shared" si="16"/>
        <v>108.94</v>
      </c>
      <c r="AJ26" s="927">
        <f t="shared" si="16"/>
        <v>108.94</v>
      </c>
      <c r="AK26" s="925">
        <f t="shared" si="16"/>
        <v>108.94</v>
      </c>
      <c r="AL26" s="927">
        <f t="shared" si="16"/>
        <v>108.94</v>
      </c>
      <c r="AM26" s="925">
        <f t="shared" si="16"/>
        <v>108.94</v>
      </c>
      <c r="AN26" s="927">
        <f t="shared" si="17"/>
        <v>108.94</v>
      </c>
      <c r="AO26" s="927">
        <f t="shared" si="17"/>
        <v>108.94</v>
      </c>
      <c r="AP26" s="925">
        <f t="shared" si="17"/>
        <v>108.94</v>
      </c>
      <c r="AQ26" s="927">
        <f t="shared" si="17"/>
        <v>108.94</v>
      </c>
      <c r="AR26" s="925">
        <f t="shared" si="17"/>
        <v>108.94</v>
      </c>
      <c r="AS26" s="925">
        <f t="shared" si="18"/>
        <v>108.94</v>
      </c>
      <c r="AT26" s="927">
        <f t="shared" si="18"/>
        <v>108.94</v>
      </c>
    </row>
    <row r="27" spans="1:46">
      <c r="A27" s="942"/>
      <c r="B27" s="1028"/>
      <c r="C27" s="1029"/>
      <c r="D27" s="435" t="s">
        <v>842</v>
      </c>
      <c r="E27" s="432"/>
      <c r="F27" s="436"/>
      <c r="G27" s="436"/>
      <c r="H27" s="437"/>
      <c r="I27" s="652">
        <f>'Dados - Composição PCFP'!$F$48</f>
        <v>1</v>
      </c>
      <c r="J27" s="1016"/>
      <c r="K27" s="926"/>
      <c r="L27" s="926"/>
      <c r="M27" s="926"/>
      <c r="N27" s="928"/>
      <c r="O27" s="928"/>
      <c r="P27" s="926"/>
      <c r="Q27" s="926"/>
      <c r="R27" s="933"/>
      <c r="S27" s="933"/>
      <c r="T27" s="933"/>
      <c r="U27" s="924"/>
      <c r="V27" s="874"/>
      <c r="W27" s="874"/>
      <c r="X27" s="874"/>
      <c r="Y27" s="874"/>
      <c r="Z27" s="874"/>
      <c r="AA27" s="874"/>
      <c r="AB27" s="874"/>
      <c r="AC27" s="874"/>
      <c r="AD27" s="874"/>
      <c r="AE27" s="926"/>
      <c r="AF27" s="926"/>
      <c r="AG27" s="928"/>
      <c r="AH27" s="928"/>
      <c r="AI27" s="926"/>
      <c r="AJ27" s="928"/>
      <c r="AK27" s="926"/>
      <c r="AL27" s="928"/>
      <c r="AM27" s="926"/>
      <c r="AN27" s="928"/>
      <c r="AO27" s="928"/>
      <c r="AP27" s="926"/>
      <c r="AQ27" s="928"/>
      <c r="AR27" s="926"/>
      <c r="AS27" s="926"/>
      <c r="AT27" s="928"/>
    </row>
    <row r="28" spans="1:46">
      <c r="A28" s="430" t="s">
        <v>165</v>
      </c>
      <c r="B28" s="921" t="s">
        <v>166</v>
      </c>
      <c r="C28" s="912"/>
      <c r="D28" s="912"/>
      <c r="E28" s="912"/>
      <c r="F28" s="912"/>
      <c r="G28" s="912"/>
      <c r="H28" s="912"/>
      <c r="I28" s="922"/>
      <c r="J28" s="648">
        <f>'Dados - Composição PCFP'!$G$49</f>
        <v>1.4999999999999999E-2</v>
      </c>
      <c r="K28" s="407">
        <f t="shared" ref="K28:AE32" si="19">ROUND($J28*(K$14+K$20),2)</f>
        <v>232.34</v>
      </c>
      <c r="L28" s="407">
        <f t="shared" si="19"/>
        <v>65.36</v>
      </c>
      <c r="M28" s="407">
        <f t="shared" si="19"/>
        <v>54.47</v>
      </c>
      <c r="N28" s="428">
        <f t="shared" si="19"/>
        <v>54.47</v>
      </c>
      <c r="O28" s="428">
        <f t="shared" si="19"/>
        <v>44.76</v>
      </c>
      <c r="P28" s="417">
        <f t="shared" si="19"/>
        <v>54.47</v>
      </c>
      <c r="Q28" s="417">
        <f t="shared" si="19"/>
        <v>54.47</v>
      </c>
      <c r="R28" s="718">
        <f t="shared" si="19"/>
        <v>54.47</v>
      </c>
      <c r="S28" s="718">
        <f t="shared" si="19"/>
        <v>60.49</v>
      </c>
      <c r="T28" s="718">
        <f t="shared" si="19"/>
        <v>54.47</v>
      </c>
      <c r="U28" s="718">
        <f t="shared" si="19"/>
        <v>60.49</v>
      </c>
      <c r="V28" s="428">
        <f t="shared" si="19"/>
        <v>54.47</v>
      </c>
      <c r="W28" s="428">
        <f t="shared" si="19"/>
        <v>54.47</v>
      </c>
      <c r="X28" s="428">
        <f t="shared" si="19"/>
        <v>54.47</v>
      </c>
      <c r="Y28" s="428">
        <f t="shared" si="19"/>
        <v>44.76</v>
      </c>
      <c r="Z28" s="428">
        <f t="shared" si="19"/>
        <v>57.18</v>
      </c>
      <c r="AA28" s="428">
        <f t="shared" si="19"/>
        <v>54.47</v>
      </c>
      <c r="AB28" s="428">
        <f t="shared" si="19"/>
        <v>41.9</v>
      </c>
      <c r="AC28" s="428">
        <f t="shared" si="19"/>
        <v>34.43</v>
      </c>
      <c r="AD28" s="428">
        <f t="shared" si="19"/>
        <v>54.47</v>
      </c>
      <c r="AE28" s="417">
        <f t="shared" si="19"/>
        <v>54.47</v>
      </c>
      <c r="AF28" s="417">
        <f t="shared" ref="AF28:AH32" si="20">ROUND($J28*(AF$14+AF$20),2)</f>
        <v>54.47</v>
      </c>
      <c r="AG28" s="428">
        <f t="shared" si="20"/>
        <v>54.47</v>
      </c>
      <c r="AH28" s="428">
        <f t="shared" si="20"/>
        <v>54.47</v>
      </c>
      <c r="AI28" s="417">
        <f t="shared" ref="AI28:AM32" si="21">ROUND($J28*(AI$14+AI$20),2)</f>
        <v>54.47</v>
      </c>
      <c r="AJ28" s="428">
        <f t="shared" si="21"/>
        <v>54.47</v>
      </c>
      <c r="AK28" s="417">
        <f t="shared" si="21"/>
        <v>54.47</v>
      </c>
      <c r="AL28" s="428">
        <f t="shared" si="21"/>
        <v>54.47</v>
      </c>
      <c r="AM28" s="417">
        <f t="shared" si="21"/>
        <v>54.47</v>
      </c>
      <c r="AN28" s="428">
        <f t="shared" ref="AN28:AR32" si="22">ROUND($J28*(AN$14+AN$20),2)</f>
        <v>54.47</v>
      </c>
      <c r="AO28" s="428">
        <f t="shared" si="22"/>
        <v>54.47</v>
      </c>
      <c r="AP28" s="417">
        <f t="shared" si="22"/>
        <v>54.47</v>
      </c>
      <c r="AQ28" s="428">
        <f t="shared" si="22"/>
        <v>54.47</v>
      </c>
      <c r="AR28" s="417">
        <f t="shared" si="22"/>
        <v>54.47</v>
      </c>
      <c r="AS28" s="417">
        <f t="shared" ref="AS28:AT32" si="23">ROUND($J28*(AS$14+AS$20),2)</f>
        <v>54.47</v>
      </c>
      <c r="AT28" s="428">
        <f t="shared" si="23"/>
        <v>54.47</v>
      </c>
    </row>
    <row r="29" spans="1:46">
      <c r="A29" s="430" t="s">
        <v>167</v>
      </c>
      <c r="B29" s="921" t="s">
        <v>168</v>
      </c>
      <c r="C29" s="912"/>
      <c r="D29" s="912"/>
      <c r="E29" s="912"/>
      <c r="F29" s="912"/>
      <c r="G29" s="912"/>
      <c r="H29" s="912"/>
      <c r="I29" s="922"/>
      <c r="J29" s="648">
        <f>'Dados - Composição PCFP'!$G$50</f>
        <v>0.01</v>
      </c>
      <c r="K29" s="407">
        <f t="shared" si="19"/>
        <v>154.88999999999999</v>
      </c>
      <c r="L29" s="407">
        <f t="shared" si="19"/>
        <v>43.57</v>
      </c>
      <c r="M29" s="407">
        <f t="shared" si="19"/>
        <v>36.31</v>
      </c>
      <c r="N29" s="428">
        <f t="shared" si="19"/>
        <v>36.31</v>
      </c>
      <c r="O29" s="428">
        <f t="shared" si="19"/>
        <v>29.84</v>
      </c>
      <c r="P29" s="417">
        <f t="shared" si="19"/>
        <v>36.31</v>
      </c>
      <c r="Q29" s="417">
        <f t="shared" si="19"/>
        <v>36.31</v>
      </c>
      <c r="R29" s="718">
        <f t="shared" si="19"/>
        <v>36.31</v>
      </c>
      <c r="S29" s="718">
        <f t="shared" si="19"/>
        <v>40.33</v>
      </c>
      <c r="T29" s="718">
        <f t="shared" si="19"/>
        <v>36.31</v>
      </c>
      <c r="U29" s="718">
        <f t="shared" si="19"/>
        <v>40.33</v>
      </c>
      <c r="V29" s="428">
        <f t="shared" si="19"/>
        <v>36.31</v>
      </c>
      <c r="W29" s="428">
        <f t="shared" si="19"/>
        <v>36.31</v>
      </c>
      <c r="X29" s="428">
        <f t="shared" si="19"/>
        <v>36.31</v>
      </c>
      <c r="Y29" s="428">
        <f t="shared" si="19"/>
        <v>29.84</v>
      </c>
      <c r="Z29" s="428">
        <f t="shared" si="19"/>
        <v>38.119999999999997</v>
      </c>
      <c r="AA29" s="428">
        <f t="shared" si="19"/>
        <v>36.31</v>
      </c>
      <c r="AB29" s="428">
        <f t="shared" si="19"/>
        <v>27.93</v>
      </c>
      <c r="AC29" s="428">
        <f t="shared" si="19"/>
        <v>22.96</v>
      </c>
      <c r="AD29" s="428">
        <f t="shared" si="19"/>
        <v>36.31</v>
      </c>
      <c r="AE29" s="417">
        <f t="shared" si="19"/>
        <v>36.31</v>
      </c>
      <c r="AF29" s="417">
        <f t="shared" si="20"/>
        <v>36.31</v>
      </c>
      <c r="AG29" s="428">
        <f t="shared" si="20"/>
        <v>36.31</v>
      </c>
      <c r="AH29" s="428">
        <f t="shared" si="20"/>
        <v>36.31</v>
      </c>
      <c r="AI29" s="417">
        <f t="shared" si="21"/>
        <v>36.31</v>
      </c>
      <c r="AJ29" s="428">
        <f t="shared" si="21"/>
        <v>36.31</v>
      </c>
      <c r="AK29" s="417">
        <f t="shared" si="21"/>
        <v>36.31</v>
      </c>
      <c r="AL29" s="428">
        <f t="shared" si="21"/>
        <v>36.31</v>
      </c>
      <c r="AM29" s="417">
        <f t="shared" si="21"/>
        <v>36.31</v>
      </c>
      <c r="AN29" s="428">
        <f t="shared" si="22"/>
        <v>36.31</v>
      </c>
      <c r="AO29" s="428">
        <f t="shared" si="22"/>
        <v>36.31</v>
      </c>
      <c r="AP29" s="417">
        <f t="shared" si="22"/>
        <v>36.31</v>
      </c>
      <c r="AQ29" s="428">
        <f t="shared" si="22"/>
        <v>36.31</v>
      </c>
      <c r="AR29" s="417">
        <f t="shared" si="22"/>
        <v>36.31</v>
      </c>
      <c r="AS29" s="417">
        <f t="shared" si="23"/>
        <v>36.31</v>
      </c>
      <c r="AT29" s="428">
        <f t="shared" si="23"/>
        <v>36.31</v>
      </c>
    </row>
    <row r="30" spans="1:46">
      <c r="A30" s="430" t="s">
        <v>169</v>
      </c>
      <c r="B30" s="921" t="s">
        <v>170</v>
      </c>
      <c r="C30" s="912"/>
      <c r="D30" s="912"/>
      <c r="E30" s="912"/>
      <c r="F30" s="912"/>
      <c r="G30" s="912"/>
      <c r="H30" s="912"/>
      <c r="I30" s="922"/>
      <c r="J30" s="649">
        <f>'Dados - Composição PCFP'!$G$51</f>
        <v>6.0000000000000001E-3</v>
      </c>
      <c r="K30" s="407">
        <f t="shared" si="19"/>
        <v>92.93</v>
      </c>
      <c r="L30" s="407">
        <f t="shared" si="19"/>
        <v>26.14</v>
      </c>
      <c r="M30" s="407">
        <f t="shared" si="19"/>
        <v>21.79</v>
      </c>
      <c r="N30" s="428">
        <f t="shared" si="19"/>
        <v>21.79</v>
      </c>
      <c r="O30" s="428">
        <f t="shared" si="19"/>
        <v>17.91</v>
      </c>
      <c r="P30" s="417">
        <f t="shared" si="19"/>
        <v>21.79</v>
      </c>
      <c r="Q30" s="417">
        <f t="shared" si="19"/>
        <v>21.79</v>
      </c>
      <c r="R30" s="718">
        <f t="shared" si="19"/>
        <v>21.79</v>
      </c>
      <c r="S30" s="718">
        <f t="shared" si="19"/>
        <v>24.2</v>
      </c>
      <c r="T30" s="718">
        <f t="shared" si="19"/>
        <v>21.79</v>
      </c>
      <c r="U30" s="718">
        <f t="shared" si="19"/>
        <v>24.2</v>
      </c>
      <c r="V30" s="428">
        <f t="shared" si="19"/>
        <v>21.79</v>
      </c>
      <c r="W30" s="428">
        <f t="shared" si="19"/>
        <v>21.79</v>
      </c>
      <c r="X30" s="428">
        <f t="shared" si="19"/>
        <v>21.79</v>
      </c>
      <c r="Y30" s="428">
        <f t="shared" si="19"/>
        <v>17.91</v>
      </c>
      <c r="Z30" s="428">
        <f t="shared" si="19"/>
        <v>22.87</v>
      </c>
      <c r="AA30" s="428">
        <f t="shared" si="19"/>
        <v>21.79</v>
      </c>
      <c r="AB30" s="428">
        <f t="shared" si="19"/>
        <v>16.760000000000002</v>
      </c>
      <c r="AC30" s="428">
        <f t="shared" si="19"/>
        <v>13.77</v>
      </c>
      <c r="AD30" s="428">
        <f t="shared" si="19"/>
        <v>21.79</v>
      </c>
      <c r="AE30" s="417">
        <f t="shared" si="19"/>
        <v>21.79</v>
      </c>
      <c r="AF30" s="417">
        <f t="shared" si="20"/>
        <v>21.79</v>
      </c>
      <c r="AG30" s="428">
        <f t="shared" si="20"/>
        <v>21.79</v>
      </c>
      <c r="AH30" s="428">
        <f t="shared" si="20"/>
        <v>21.79</v>
      </c>
      <c r="AI30" s="417">
        <f t="shared" si="21"/>
        <v>21.79</v>
      </c>
      <c r="AJ30" s="428">
        <f t="shared" si="21"/>
        <v>21.79</v>
      </c>
      <c r="AK30" s="417">
        <f t="shared" si="21"/>
        <v>21.79</v>
      </c>
      <c r="AL30" s="428">
        <f t="shared" si="21"/>
        <v>21.79</v>
      </c>
      <c r="AM30" s="417">
        <f t="shared" si="21"/>
        <v>21.79</v>
      </c>
      <c r="AN30" s="428">
        <f t="shared" si="22"/>
        <v>21.79</v>
      </c>
      <c r="AO30" s="428">
        <f t="shared" si="22"/>
        <v>21.79</v>
      </c>
      <c r="AP30" s="417">
        <f t="shared" si="22"/>
        <v>21.79</v>
      </c>
      <c r="AQ30" s="428">
        <f t="shared" si="22"/>
        <v>21.79</v>
      </c>
      <c r="AR30" s="417">
        <f t="shared" si="22"/>
        <v>21.79</v>
      </c>
      <c r="AS30" s="417">
        <f t="shared" si="23"/>
        <v>21.79</v>
      </c>
      <c r="AT30" s="428">
        <f t="shared" si="23"/>
        <v>21.79</v>
      </c>
    </row>
    <row r="31" spans="1:46">
      <c r="A31" s="430" t="s">
        <v>171</v>
      </c>
      <c r="B31" s="921" t="s">
        <v>172</v>
      </c>
      <c r="C31" s="912"/>
      <c r="D31" s="912"/>
      <c r="E31" s="912"/>
      <c r="F31" s="912"/>
      <c r="G31" s="912"/>
      <c r="H31" s="912"/>
      <c r="I31" s="922"/>
      <c r="J31" s="693">
        <f>'Dados - Composição PCFP'!$G$52</f>
        <v>2E-3</v>
      </c>
      <c r="K31" s="407">
        <f t="shared" si="19"/>
        <v>30.98</v>
      </c>
      <c r="L31" s="407">
        <f t="shared" si="19"/>
        <v>8.7100000000000009</v>
      </c>
      <c r="M31" s="407">
        <f t="shared" si="19"/>
        <v>7.26</v>
      </c>
      <c r="N31" s="428">
        <f t="shared" si="19"/>
        <v>7.26</v>
      </c>
      <c r="O31" s="428">
        <f t="shared" si="19"/>
        <v>5.97</v>
      </c>
      <c r="P31" s="417">
        <f t="shared" si="19"/>
        <v>7.26</v>
      </c>
      <c r="Q31" s="417">
        <f t="shared" si="19"/>
        <v>7.26</v>
      </c>
      <c r="R31" s="718">
        <f t="shared" si="19"/>
        <v>7.26</v>
      </c>
      <c r="S31" s="718">
        <f t="shared" si="19"/>
        <v>8.07</v>
      </c>
      <c r="T31" s="718">
        <f t="shared" si="19"/>
        <v>7.26</v>
      </c>
      <c r="U31" s="718">
        <f t="shared" si="19"/>
        <v>8.07</v>
      </c>
      <c r="V31" s="428">
        <f t="shared" si="19"/>
        <v>7.26</v>
      </c>
      <c r="W31" s="428">
        <f t="shared" si="19"/>
        <v>7.26</v>
      </c>
      <c r="X31" s="428">
        <f t="shared" si="19"/>
        <v>7.26</v>
      </c>
      <c r="Y31" s="428">
        <f t="shared" si="19"/>
        <v>5.97</v>
      </c>
      <c r="Z31" s="428">
        <f t="shared" si="19"/>
        <v>7.62</v>
      </c>
      <c r="AA31" s="428">
        <f t="shared" si="19"/>
        <v>7.26</v>
      </c>
      <c r="AB31" s="428">
        <f t="shared" si="19"/>
        <v>5.59</v>
      </c>
      <c r="AC31" s="428">
        <f t="shared" si="19"/>
        <v>4.59</v>
      </c>
      <c r="AD31" s="428">
        <f t="shared" si="19"/>
        <v>7.26</v>
      </c>
      <c r="AE31" s="417">
        <f t="shared" si="19"/>
        <v>7.26</v>
      </c>
      <c r="AF31" s="417">
        <f t="shared" si="20"/>
        <v>7.26</v>
      </c>
      <c r="AG31" s="428">
        <f t="shared" si="20"/>
        <v>7.26</v>
      </c>
      <c r="AH31" s="428">
        <f t="shared" si="20"/>
        <v>7.26</v>
      </c>
      <c r="AI31" s="417">
        <f t="shared" si="21"/>
        <v>7.26</v>
      </c>
      <c r="AJ31" s="428">
        <f t="shared" si="21"/>
        <v>7.26</v>
      </c>
      <c r="AK31" s="417">
        <f t="shared" si="21"/>
        <v>7.26</v>
      </c>
      <c r="AL31" s="428">
        <f t="shared" si="21"/>
        <v>7.26</v>
      </c>
      <c r="AM31" s="417">
        <f t="shared" si="21"/>
        <v>7.26</v>
      </c>
      <c r="AN31" s="428">
        <f t="shared" si="22"/>
        <v>7.26</v>
      </c>
      <c r="AO31" s="428">
        <f t="shared" si="22"/>
        <v>7.26</v>
      </c>
      <c r="AP31" s="417">
        <f t="shared" si="22"/>
        <v>7.26</v>
      </c>
      <c r="AQ31" s="428">
        <f t="shared" si="22"/>
        <v>7.26</v>
      </c>
      <c r="AR31" s="417">
        <f t="shared" si="22"/>
        <v>7.26</v>
      </c>
      <c r="AS31" s="417">
        <f t="shared" si="23"/>
        <v>7.26</v>
      </c>
      <c r="AT31" s="428">
        <f t="shared" si="23"/>
        <v>7.26</v>
      </c>
    </row>
    <row r="32" spans="1:46">
      <c r="A32" s="438" t="s">
        <v>173</v>
      </c>
      <c r="B32" s="921" t="s">
        <v>174</v>
      </c>
      <c r="C32" s="912"/>
      <c r="D32" s="912"/>
      <c r="E32" s="912"/>
      <c r="F32" s="912"/>
      <c r="G32" s="912"/>
      <c r="H32" s="912"/>
      <c r="I32" s="922"/>
      <c r="J32" s="648">
        <f>'Dados - Composição PCFP'!$G$53</f>
        <v>0.08</v>
      </c>
      <c r="K32" s="557">
        <f t="shared" si="19"/>
        <v>1239.1300000000001</v>
      </c>
      <c r="L32" s="557">
        <f t="shared" si="19"/>
        <v>348.6</v>
      </c>
      <c r="M32" s="557">
        <f t="shared" si="19"/>
        <v>290.5</v>
      </c>
      <c r="N32" s="439">
        <f t="shared" si="19"/>
        <v>290.5</v>
      </c>
      <c r="O32" s="439">
        <f t="shared" si="19"/>
        <v>238.74</v>
      </c>
      <c r="P32" s="440">
        <f t="shared" si="19"/>
        <v>290.5</v>
      </c>
      <c r="Q32" s="440">
        <f t="shared" si="19"/>
        <v>290.5</v>
      </c>
      <c r="R32" s="719">
        <f t="shared" si="19"/>
        <v>290.5</v>
      </c>
      <c r="S32" s="719">
        <f t="shared" si="19"/>
        <v>322.61</v>
      </c>
      <c r="T32" s="719">
        <f t="shared" si="19"/>
        <v>290.5</v>
      </c>
      <c r="U32" s="719">
        <f t="shared" si="19"/>
        <v>322.61</v>
      </c>
      <c r="V32" s="439">
        <f t="shared" si="19"/>
        <v>290.5</v>
      </c>
      <c r="W32" s="439">
        <f t="shared" si="19"/>
        <v>290.5</v>
      </c>
      <c r="X32" s="439">
        <f t="shared" si="19"/>
        <v>290.5</v>
      </c>
      <c r="Y32" s="439">
        <f t="shared" si="19"/>
        <v>238.74</v>
      </c>
      <c r="Z32" s="439">
        <f t="shared" si="19"/>
        <v>304.97000000000003</v>
      </c>
      <c r="AA32" s="439">
        <f t="shared" si="19"/>
        <v>290.5</v>
      </c>
      <c r="AB32" s="439">
        <f t="shared" si="19"/>
        <v>223.46</v>
      </c>
      <c r="AC32" s="439">
        <f t="shared" si="19"/>
        <v>183.65</v>
      </c>
      <c r="AD32" s="439">
        <f t="shared" si="19"/>
        <v>290.5</v>
      </c>
      <c r="AE32" s="440">
        <f t="shared" si="19"/>
        <v>290.5</v>
      </c>
      <c r="AF32" s="440">
        <f t="shared" si="20"/>
        <v>290.5</v>
      </c>
      <c r="AG32" s="439">
        <f t="shared" si="20"/>
        <v>290.5</v>
      </c>
      <c r="AH32" s="439">
        <f t="shared" si="20"/>
        <v>290.5</v>
      </c>
      <c r="AI32" s="440">
        <f t="shared" si="21"/>
        <v>290.5</v>
      </c>
      <c r="AJ32" s="439">
        <f t="shared" si="21"/>
        <v>290.5</v>
      </c>
      <c r="AK32" s="440">
        <f t="shared" si="21"/>
        <v>290.5</v>
      </c>
      <c r="AL32" s="439">
        <f t="shared" si="21"/>
        <v>290.5</v>
      </c>
      <c r="AM32" s="440">
        <f t="shared" si="21"/>
        <v>290.5</v>
      </c>
      <c r="AN32" s="439">
        <f t="shared" si="22"/>
        <v>290.5</v>
      </c>
      <c r="AO32" s="439">
        <f t="shared" si="22"/>
        <v>290.5</v>
      </c>
      <c r="AP32" s="440">
        <f t="shared" si="22"/>
        <v>290.5</v>
      </c>
      <c r="AQ32" s="439">
        <f t="shared" si="22"/>
        <v>290.5</v>
      </c>
      <c r="AR32" s="440">
        <f t="shared" si="22"/>
        <v>290.5</v>
      </c>
      <c r="AS32" s="440">
        <f t="shared" si="23"/>
        <v>290.5</v>
      </c>
      <c r="AT32" s="439">
        <f t="shared" si="23"/>
        <v>290.5</v>
      </c>
    </row>
    <row r="33" spans="1:46">
      <c r="A33" s="918" t="s">
        <v>175</v>
      </c>
      <c r="B33" s="919"/>
      <c r="C33" s="919"/>
      <c r="D33" s="919"/>
      <c r="E33" s="919"/>
      <c r="F33" s="919"/>
      <c r="G33" s="919"/>
      <c r="H33" s="919"/>
      <c r="I33" s="920"/>
      <c r="J33" s="650">
        <f>SUM(J24:J32)</f>
        <v>0.36800000000000005</v>
      </c>
      <c r="K33" s="420">
        <f t="shared" ref="K33:AR33" si="24">SUM(K24:K32)</f>
        <v>5699.9900000000007</v>
      </c>
      <c r="L33" s="420">
        <f t="shared" si="24"/>
        <v>1603.5300000000002</v>
      </c>
      <c r="M33" s="420">
        <f t="shared" si="24"/>
        <v>1336.29</v>
      </c>
      <c r="N33" s="412">
        <f t="shared" si="24"/>
        <v>1336.29</v>
      </c>
      <c r="O33" s="412">
        <f t="shared" si="24"/>
        <v>1098.21</v>
      </c>
      <c r="P33" s="420">
        <f t="shared" si="24"/>
        <v>1336.29</v>
      </c>
      <c r="Q33" s="420">
        <f t="shared" si="24"/>
        <v>1336.29</v>
      </c>
      <c r="R33" s="715">
        <f t="shared" ref="R33:T33" si="25">SUM(R24:R32)</f>
        <v>1336.29</v>
      </c>
      <c r="S33" s="715">
        <f t="shared" si="25"/>
        <v>1484.02</v>
      </c>
      <c r="T33" s="715">
        <f t="shared" si="25"/>
        <v>1336.29</v>
      </c>
      <c r="U33" s="715">
        <f t="shared" si="24"/>
        <v>1484.02</v>
      </c>
      <c r="V33" s="412">
        <f t="shared" ref="V33:W33" si="26">SUM(V24:V32)</f>
        <v>1336.29</v>
      </c>
      <c r="W33" s="412">
        <f t="shared" si="26"/>
        <v>1336.29</v>
      </c>
      <c r="X33" s="412">
        <f t="shared" ref="X33:Y33" si="27">SUM(X24:X32)</f>
        <v>1336.29</v>
      </c>
      <c r="Y33" s="412">
        <f t="shared" si="27"/>
        <v>1098.21</v>
      </c>
      <c r="Z33" s="412">
        <f t="shared" ref="Z33:AA33" si="28">SUM(Z24:Z32)</f>
        <v>1402.8399999999997</v>
      </c>
      <c r="AA33" s="412">
        <f t="shared" si="28"/>
        <v>1336.29</v>
      </c>
      <c r="AB33" s="412">
        <f t="shared" ref="AB33:AD33" si="29">SUM(AB24:AB32)</f>
        <v>1027.9199999999998</v>
      </c>
      <c r="AC33" s="412">
        <f t="shared" si="29"/>
        <v>844.77</v>
      </c>
      <c r="AD33" s="412">
        <f t="shared" si="29"/>
        <v>1336.29</v>
      </c>
      <c r="AE33" s="420">
        <f t="shared" si="24"/>
        <v>1336.29</v>
      </c>
      <c r="AF33" s="420">
        <f t="shared" si="24"/>
        <v>1336.29</v>
      </c>
      <c r="AG33" s="412">
        <f t="shared" si="24"/>
        <v>1336.29</v>
      </c>
      <c r="AH33" s="412">
        <f t="shared" si="24"/>
        <v>1336.29</v>
      </c>
      <c r="AI33" s="420">
        <f t="shared" si="24"/>
        <v>1336.29</v>
      </c>
      <c r="AJ33" s="412">
        <f t="shared" si="24"/>
        <v>1336.29</v>
      </c>
      <c r="AK33" s="420">
        <f t="shared" si="24"/>
        <v>1336.29</v>
      </c>
      <c r="AL33" s="412">
        <f t="shared" si="24"/>
        <v>1336.29</v>
      </c>
      <c r="AM33" s="420">
        <f t="shared" si="24"/>
        <v>1336.29</v>
      </c>
      <c r="AN33" s="412">
        <f t="shared" si="24"/>
        <v>1336.29</v>
      </c>
      <c r="AO33" s="412">
        <f t="shared" ref="AO33" si="30">SUM(AO24:AO32)</f>
        <v>1336.29</v>
      </c>
      <c r="AP33" s="420">
        <f t="shared" si="24"/>
        <v>1336.29</v>
      </c>
      <c r="AQ33" s="412">
        <f t="shared" ref="AQ33" si="31">SUM(AQ24:AQ32)</f>
        <v>1336.29</v>
      </c>
      <c r="AR33" s="420">
        <f t="shared" si="24"/>
        <v>1336.29</v>
      </c>
      <c r="AS33" s="420">
        <f>SUM(AS24:AS32)</f>
        <v>1336.29</v>
      </c>
      <c r="AT33" s="412">
        <f>SUM(AT24:AT32)</f>
        <v>1336.29</v>
      </c>
    </row>
    <row r="34" spans="1:46" s="413" customFormat="1">
      <c r="K34" s="414"/>
      <c r="L34" s="414"/>
      <c r="M34" s="414"/>
      <c r="P34" s="414"/>
      <c r="Q34" s="414"/>
      <c r="R34" s="585"/>
      <c r="S34" s="585"/>
      <c r="T34" s="585"/>
      <c r="U34" s="585"/>
      <c r="AE34" s="477"/>
      <c r="AF34" s="414"/>
      <c r="AI34" s="414"/>
      <c r="AK34" s="414"/>
      <c r="AM34" s="414"/>
      <c r="AP34" s="414"/>
      <c r="AR34" s="414"/>
      <c r="AS34" s="414"/>
    </row>
    <row r="35" spans="1:46">
      <c r="A35" s="929" t="s">
        <v>843</v>
      </c>
      <c r="B35" s="930"/>
      <c r="C35" s="930"/>
      <c r="D35" s="930"/>
      <c r="E35" s="930"/>
      <c r="F35" s="930"/>
      <c r="G35" s="930"/>
      <c r="H35" s="930"/>
      <c r="I35" s="930"/>
      <c r="J35" s="931"/>
      <c r="K35" s="902" t="s">
        <v>830</v>
      </c>
      <c r="L35" s="902" t="s">
        <v>830</v>
      </c>
      <c r="M35" s="902" t="s">
        <v>830</v>
      </c>
      <c r="N35" s="875" t="s">
        <v>830</v>
      </c>
      <c r="O35" s="875" t="s">
        <v>830</v>
      </c>
      <c r="P35" s="902" t="s">
        <v>830</v>
      </c>
      <c r="Q35" s="902" t="s">
        <v>830</v>
      </c>
      <c r="R35" s="914" t="s">
        <v>830</v>
      </c>
      <c r="S35" s="914" t="s">
        <v>830</v>
      </c>
      <c r="T35" s="914" t="s">
        <v>830</v>
      </c>
      <c r="U35" s="914" t="s">
        <v>830</v>
      </c>
      <c r="V35" s="875" t="s">
        <v>830</v>
      </c>
      <c r="W35" s="875" t="s">
        <v>830</v>
      </c>
      <c r="X35" s="875" t="s">
        <v>830</v>
      </c>
      <c r="Y35" s="875" t="s">
        <v>830</v>
      </c>
      <c r="Z35" s="875" t="s">
        <v>830</v>
      </c>
      <c r="AA35" s="875" t="s">
        <v>830</v>
      </c>
      <c r="AB35" s="875" t="s">
        <v>830</v>
      </c>
      <c r="AC35" s="875" t="s">
        <v>830</v>
      </c>
      <c r="AD35" s="875" t="s">
        <v>830</v>
      </c>
      <c r="AE35" s="916" t="s">
        <v>830</v>
      </c>
      <c r="AF35" s="902" t="s">
        <v>830</v>
      </c>
      <c r="AG35" s="875" t="s">
        <v>830</v>
      </c>
      <c r="AH35" s="875" t="s">
        <v>830</v>
      </c>
      <c r="AI35" s="902" t="s">
        <v>830</v>
      </c>
      <c r="AJ35" s="875" t="s">
        <v>830</v>
      </c>
      <c r="AK35" s="902" t="s">
        <v>830</v>
      </c>
      <c r="AL35" s="875" t="s">
        <v>830</v>
      </c>
      <c r="AM35" s="902" t="s">
        <v>830</v>
      </c>
      <c r="AN35" s="875" t="s">
        <v>830</v>
      </c>
      <c r="AO35" s="875" t="s">
        <v>830</v>
      </c>
      <c r="AP35" s="902" t="s">
        <v>830</v>
      </c>
      <c r="AQ35" s="875" t="s">
        <v>830</v>
      </c>
      <c r="AR35" s="902" t="s">
        <v>830</v>
      </c>
      <c r="AS35" s="902" t="s">
        <v>830</v>
      </c>
      <c r="AT35" s="875" t="s">
        <v>830</v>
      </c>
    </row>
    <row r="36" spans="1:46">
      <c r="A36" s="943" t="s">
        <v>176</v>
      </c>
      <c r="B36" s="944"/>
      <c r="C36" s="944"/>
      <c r="D36" s="944"/>
      <c r="E36" s="944"/>
      <c r="F36" s="944"/>
      <c r="G36" s="944"/>
      <c r="H36" s="944"/>
      <c r="I36" s="944"/>
      <c r="J36" s="425"/>
      <c r="K36" s="903"/>
      <c r="L36" s="903"/>
      <c r="M36" s="903"/>
      <c r="N36" s="876"/>
      <c r="O36" s="876"/>
      <c r="P36" s="903"/>
      <c r="Q36" s="903"/>
      <c r="R36" s="915"/>
      <c r="S36" s="915"/>
      <c r="T36" s="915"/>
      <c r="U36" s="915"/>
      <c r="V36" s="876"/>
      <c r="W36" s="876"/>
      <c r="X36" s="876"/>
      <c r="Y36" s="876"/>
      <c r="Z36" s="876"/>
      <c r="AA36" s="876"/>
      <c r="AB36" s="876"/>
      <c r="AC36" s="876"/>
      <c r="AD36" s="876"/>
      <c r="AE36" s="917"/>
      <c r="AF36" s="903"/>
      <c r="AG36" s="876"/>
      <c r="AH36" s="876"/>
      <c r="AI36" s="903"/>
      <c r="AJ36" s="876"/>
      <c r="AK36" s="903"/>
      <c r="AL36" s="876"/>
      <c r="AM36" s="903"/>
      <c r="AN36" s="876"/>
      <c r="AO36" s="876"/>
      <c r="AP36" s="903"/>
      <c r="AQ36" s="876"/>
      <c r="AR36" s="903"/>
      <c r="AS36" s="903"/>
      <c r="AT36" s="876"/>
    </row>
    <row r="37" spans="1:46" s="584" customFormat="1">
      <c r="A37" s="1030" t="s">
        <v>177</v>
      </c>
      <c r="B37" s="1031"/>
      <c r="C37" s="1031"/>
      <c r="D37" s="1031"/>
      <c r="E37" s="1031"/>
      <c r="F37" s="1031"/>
      <c r="G37" s="1031"/>
      <c r="H37" s="1031"/>
      <c r="I37" s="1031"/>
      <c r="J37" s="1032"/>
      <c r="K37" s="412">
        <f>VLOOKUP(K6,'Dados - Composição PCFP'!$D$5:$AA$40,13,FALSE)</f>
        <v>814</v>
      </c>
      <c r="L37" s="412">
        <f>VLOOKUP(L6,'Dados - Composição PCFP'!$D$5:$AA$40,13,FALSE)</f>
        <v>0</v>
      </c>
      <c r="M37" s="412">
        <f>VLOOKUP(M6,'Dados - Composição PCFP'!$D$5:$AA$40,13,FALSE)</f>
        <v>0</v>
      </c>
      <c r="N37" s="412">
        <f>VLOOKUP(N6,'Dados - Composição PCFP'!$D$5:$AA$40,13,FALSE)</f>
        <v>0</v>
      </c>
      <c r="O37" s="412">
        <f>VLOOKUP(O6,'Dados - Composição PCFP'!$D$5:$AA$40,13,FALSE)</f>
        <v>0</v>
      </c>
      <c r="P37" s="412">
        <f>VLOOKUP(P6,'Dados - Composição PCFP'!$D$5:$AA$40,13,FALSE)</f>
        <v>0</v>
      </c>
      <c r="Q37" s="412">
        <f>VLOOKUP(Q6,'Dados - Composição PCFP'!$D$5:$AA$40,13,FALSE)</f>
        <v>0</v>
      </c>
      <c r="R37" s="715">
        <f>VLOOKUP(R6,'Dados - Composição PCFP'!$D$5:$AA$40,13,FALSE)</f>
        <v>0</v>
      </c>
      <c r="S37" s="715">
        <f>VLOOKUP(S6,'Dados - Composição PCFP'!$D$5:$AA$40,13,FALSE)</f>
        <v>0</v>
      </c>
      <c r="T37" s="715">
        <f>VLOOKUP(T6,'Dados - Composição PCFP'!$D$5:$AA$40,13,FALSE)</f>
        <v>0</v>
      </c>
      <c r="U37" s="715">
        <f>VLOOKUP(U6,'Dados - Composição PCFP'!$D$5:$AA$40,13,FALSE)</f>
        <v>0</v>
      </c>
      <c r="V37" s="412">
        <f>VLOOKUP(V6,'Dados - Composição PCFP'!$D$5:$AA$40,13,FALSE)</f>
        <v>0</v>
      </c>
      <c r="W37" s="412">
        <f>VLOOKUP(W6,'Dados - Composição PCFP'!$D$5:$AA$40,13,FALSE)</f>
        <v>0</v>
      </c>
      <c r="X37" s="412">
        <f>VLOOKUP(X6,'Dados - Composição PCFP'!$D$5:$AA$40,13,FALSE)</f>
        <v>0</v>
      </c>
      <c r="Y37" s="412">
        <f>VLOOKUP(Y6,'Dados - Composição PCFP'!$D$5:$AA$40,13,FALSE)</f>
        <v>0</v>
      </c>
      <c r="Z37" s="412">
        <f>VLOOKUP(Z6,'Dados - Composição PCFP'!$D$5:$AA$40,13,FALSE)</f>
        <v>475.79999999999995</v>
      </c>
      <c r="AA37" s="412">
        <f>VLOOKUP(AA6,'Dados - Composição PCFP'!$D$5:$AA$40,13,FALSE)</f>
        <v>0</v>
      </c>
      <c r="AB37" s="412">
        <f>VLOOKUP(AB6,'Dados - Composição PCFP'!$D$5:$AA$40,13,FALSE)</f>
        <v>0</v>
      </c>
      <c r="AC37" s="412">
        <f>VLOOKUP(AC6,'Dados - Composição PCFP'!$D$5:$AA$40,13,FALSE)</f>
        <v>0</v>
      </c>
      <c r="AD37" s="412">
        <f>VLOOKUP(AD6,'Dados - Composição PCFP'!$D$5:$AA$40,13,FALSE)</f>
        <v>0</v>
      </c>
      <c r="AE37" s="412">
        <f>VLOOKUP(AE6,'Dados - Composição PCFP'!$D$5:$AA$40,13,FALSE)</f>
        <v>0</v>
      </c>
      <c r="AF37" s="412">
        <f>VLOOKUP(AF6,'Dados - Composição PCFP'!$D$5:$AA$40,13,FALSE)</f>
        <v>0</v>
      </c>
      <c r="AG37" s="412">
        <f>VLOOKUP(AG6,'Dados - Composição PCFP'!$D$5:$AA$40,13,FALSE)</f>
        <v>0</v>
      </c>
      <c r="AH37" s="412">
        <f>VLOOKUP(AH6,'Dados - Composição PCFP'!$D$5:$AA$40,13,FALSE)</f>
        <v>0</v>
      </c>
      <c r="AI37" s="412">
        <f>VLOOKUP(AI6,'Dados - Composição PCFP'!$D$5:$AA$40,13,FALSE)</f>
        <v>0</v>
      </c>
      <c r="AJ37" s="412">
        <f>VLOOKUP(AJ6,'Dados - Composição PCFP'!$D$5:$AA$40,13,FALSE)</f>
        <v>0</v>
      </c>
      <c r="AK37" s="412">
        <f>VLOOKUP(AK6,'Dados - Composição PCFP'!$D$5:$AA$40,13,FALSE)</f>
        <v>0</v>
      </c>
      <c r="AL37" s="412">
        <f>VLOOKUP(AL6,'Dados - Composição PCFP'!$D$5:$AA$40,13,FALSE)</f>
        <v>0</v>
      </c>
      <c r="AM37" s="412">
        <f>VLOOKUP(AM6,'Dados - Composição PCFP'!$D$5:$AA$40,13,FALSE)</f>
        <v>0</v>
      </c>
      <c r="AN37" s="412">
        <f>VLOOKUP(AN6,'Dados - Composição PCFP'!$D$5:$AA$40,13,FALSE)</f>
        <v>0</v>
      </c>
      <c r="AO37" s="412">
        <f>VLOOKUP(AO6,'Dados - Composição PCFP'!$D$5:$AA$40,13,FALSE)</f>
        <v>0</v>
      </c>
      <c r="AP37" s="412">
        <f>VLOOKUP(AP6,'Dados - Composição PCFP'!$D$5:$AA$40,13,FALSE)</f>
        <v>0</v>
      </c>
      <c r="AQ37" s="412">
        <f>VLOOKUP(AQ6,'Dados - Composição PCFP'!$D$5:$AA$40,13,FALSE)</f>
        <v>0</v>
      </c>
      <c r="AR37" s="412">
        <f>VLOOKUP(AR6,'Dados - Composição PCFP'!$D$5:$AA$40,13,FALSE)</f>
        <v>0</v>
      </c>
      <c r="AS37" s="412">
        <f>VLOOKUP(AS6,'Dados - Composição PCFP'!$D$5:$AA$40,13,FALSE)</f>
        <v>0</v>
      </c>
      <c r="AT37" s="412">
        <f>VLOOKUP(AT6,'Dados - Composição PCFP'!$D$5:$AA$40,13,FALSE)</f>
        <v>0</v>
      </c>
    </row>
    <row r="38" spans="1:46" s="584" customFormat="1">
      <c r="A38" s="1030" t="s">
        <v>186</v>
      </c>
      <c r="B38" s="1031"/>
      <c r="C38" s="1031"/>
      <c r="D38" s="1031"/>
      <c r="E38" s="1031"/>
      <c r="F38" s="1031"/>
      <c r="G38" s="1031"/>
      <c r="H38" s="1031"/>
      <c r="I38" s="1031"/>
      <c r="J38" s="1032"/>
      <c r="K38" s="412">
        <f>VLOOKUP(K6,'Dados - Composição PCFP'!$D$5:$AA$40,14,FALSE)</f>
        <v>0</v>
      </c>
      <c r="L38" s="412">
        <f>VLOOKUP(L6,'Dados - Composição PCFP'!$D$5:$AA$40,14,FALSE)</f>
        <v>427.5</v>
      </c>
      <c r="M38" s="412">
        <f>VLOOKUP(M6,'Dados - Composição PCFP'!$D$5:$AA$40,14,FALSE)</f>
        <v>427.5</v>
      </c>
      <c r="N38" s="412">
        <f>VLOOKUP(N6,'Dados - Composição PCFP'!$D$5:$AA$40,14,FALSE)</f>
        <v>427.5</v>
      </c>
      <c r="O38" s="412">
        <f>VLOOKUP(O6,'Dados - Composição PCFP'!$D$5:$AA$40,14,FALSE)</f>
        <v>427.5</v>
      </c>
      <c r="P38" s="412">
        <f>VLOOKUP(P6,'Dados - Composição PCFP'!$D$5:$AA$40,14,FALSE)</f>
        <v>427.5</v>
      </c>
      <c r="Q38" s="412">
        <f>VLOOKUP(Q6,'Dados - Composição PCFP'!$D$5:$AA$40,14,FALSE)</f>
        <v>427.5</v>
      </c>
      <c r="R38" s="715">
        <f>VLOOKUP(R6,'Dados - Composição PCFP'!$D$5:$AA$40,14,FALSE)</f>
        <v>427.5</v>
      </c>
      <c r="S38" s="715">
        <f>VLOOKUP(S6,'Dados - Composição PCFP'!$D$5:$AA$40,14,FALSE)</f>
        <v>427.5</v>
      </c>
      <c r="T38" s="715">
        <f>VLOOKUP(T6,'Dados - Composição PCFP'!$D$5:$AA$40,14,FALSE)</f>
        <v>427.5</v>
      </c>
      <c r="U38" s="715">
        <f>VLOOKUP(U6,'Dados - Composição PCFP'!$D$5:$AA$40,14,FALSE)</f>
        <v>427.5</v>
      </c>
      <c r="V38" s="412">
        <f>VLOOKUP(V6,'Dados - Composição PCFP'!$D$5:$AA$40,14,FALSE)</f>
        <v>427.5</v>
      </c>
      <c r="W38" s="412">
        <f>VLOOKUP(W6,'Dados - Composição PCFP'!$D$5:$AA$40,14,FALSE)</f>
        <v>427.5</v>
      </c>
      <c r="X38" s="412">
        <f>VLOOKUP(X6,'Dados - Composição PCFP'!$D$5:$AA$40,14,FALSE)</f>
        <v>427.5</v>
      </c>
      <c r="Y38" s="412">
        <f>VLOOKUP(Y6,'Dados - Composição PCFP'!$D$5:$AA$40,14,FALSE)</f>
        <v>427.5</v>
      </c>
      <c r="Z38" s="412">
        <f>VLOOKUP(Z6,'Dados - Composição PCFP'!$D$5:$AA$40,14,FALSE)</f>
        <v>179.28</v>
      </c>
      <c r="AA38" s="412">
        <f>VLOOKUP(AA6,'Dados - Composição PCFP'!$D$5:$AA$40,14,FALSE)</f>
        <v>427.5</v>
      </c>
      <c r="AB38" s="412">
        <f>VLOOKUP(AB6,'Dados - Composição PCFP'!$D$5:$AA$40,14,FALSE)</f>
        <v>427.5</v>
      </c>
      <c r="AC38" s="412">
        <f>VLOOKUP(AC6,'Dados - Composição PCFP'!$D$5:$AA$40,14,FALSE)</f>
        <v>427.5</v>
      </c>
      <c r="AD38" s="412">
        <f>VLOOKUP(AD6,'Dados - Composição PCFP'!$D$5:$AA$40,14,FALSE)</f>
        <v>427.5</v>
      </c>
      <c r="AE38" s="412">
        <f>VLOOKUP(AE6,'Dados - Composição PCFP'!$D$5:$AA$40,14,FALSE)</f>
        <v>427.5</v>
      </c>
      <c r="AF38" s="412">
        <f>VLOOKUP(AF6,'Dados - Composição PCFP'!$D$5:$AA$40,14,FALSE)</f>
        <v>427.5</v>
      </c>
      <c r="AG38" s="412">
        <f>VLOOKUP(AG6,'Dados - Composição PCFP'!$D$5:$AA$40,14,FALSE)</f>
        <v>427.5</v>
      </c>
      <c r="AH38" s="412">
        <f>VLOOKUP(AH6,'Dados - Composição PCFP'!$D$5:$AA$40,14,FALSE)</f>
        <v>427.5</v>
      </c>
      <c r="AI38" s="412">
        <f>VLOOKUP(AI6,'Dados - Composição PCFP'!$D$5:$AA$40,14,FALSE)</f>
        <v>427.5</v>
      </c>
      <c r="AJ38" s="412">
        <f>VLOOKUP(AJ6,'Dados - Composição PCFP'!$D$5:$AA$40,14,FALSE)</f>
        <v>427.5</v>
      </c>
      <c r="AK38" s="412">
        <f>VLOOKUP(AK6,'Dados - Composição PCFP'!$D$5:$AA$40,14,FALSE)</f>
        <v>427.5</v>
      </c>
      <c r="AL38" s="412">
        <f>VLOOKUP(AL6,'Dados - Composição PCFP'!$D$5:$AA$40,14,FALSE)</f>
        <v>427.5</v>
      </c>
      <c r="AM38" s="412">
        <f>VLOOKUP(AM6,'Dados - Composição PCFP'!$D$5:$AA$40,14,FALSE)</f>
        <v>427.5</v>
      </c>
      <c r="AN38" s="412">
        <f>VLOOKUP(AN6,'Dados - Composição PCFP'!$D$5:$AA$40,14,FALSE)</f>
        <v>427.5</v>
      </c>
      <c r="AO38" s="412">
        <f>VLOOKUP(AO6,'Dados - Composição PCFP'!$D$5:$AA$40,14,FALSE)</f>
        <v>427.5</v>
      </c>
      <c r="AP38" s="412">
        <f>VLOOKUP(AP6,'Dados - Composição PCFP'!$D$5:$AA$40,14,FALSE)</f>
        <v>427.5</v>
      </c>
      <c r="AQ38" s="412">
        <f>VLOOKUP(AQ6,'Dados - Composição PCFP'!$D$5:$AA$40,14,FALSE)</f>
        <v>427.5</v>
      </c>
      <c r="AR38" s="412">
        <f>VLOOKUP(AR6,'Dados - Composição PCFP'!$D$5:$AA$40,14,FALSE)</f>
        <v>427.5</v>
      </c>
      <c r="AS38" s="412">
        <f>VLOOKUP(AS6,'Dados - Composição PCFP'!$D$5:$AA$40,14,FALSE)</f>
        <v>427.5</v>
      </c>
      <c r="AT38" s="412">
        <f>VLOOKUP(AT6,'Dados - Composição PCFP'!$D$5:$AA$40,14,FALSE)</f>
        <v>427.5</v>
      </c>
    </row>
    <row r="39" spans="1:46" s="584" customFormat="1">
      <c r="A39" s="1030" t="s">
        <v>189</v>
      </c>
      <c r="B39" s="1031"/>
      <c r="C39" s="1031"/>
      <c r="D39" s="1031"/>
      <c r="E39" s="1031"/>
      <c r="F39" s="1031"/>
      <c r="G39" s="1031"/>
      <c r="H39" s="1031"/>
      <c r="I39" s="1031"/>
      <c r="J39" s="1032"/>
      <c r="K39" s="412">
        <f>VLOOKUP(K6,'Dados - Composição PCFP'!$D$5:$AA$40,15,FALSE)</f>
        <v>0</v>
      </c>
      <c r="L39" s="412">
        <f>VLOOKUP(L6,'Dados - Composição PCFP'!$D$5:$AA$40,15,FALSE)</f>
        <v>348.48</v>
      </c>
      <c r="M39" s="412">
        <f>VLOOKUP(M6,'Dados - Composição PCFP'!$D$5:$AA$40,15,FALSE)</f>
        <v>348.48</v>
      </c>
      <c r="N39" s="412">
        <f>VLOOKUP(N6,'Dados - Composição PCFP'!$D$5:$AA$40,15,FALSE)</f>
        <v>348.48</v>
      </c>
      <c r="O39" s="412">
        <f>VLOOKUP(O6,'Dados - Composição PCFP'!$D$5:$AA$40,15,FALSE)</f>
        <v>348.48</v>
      </c>
      <c r="P39" s="412">
        <f>VLOOKUP(P6,'Dados - Composição PCFP'!$D$5:$AA$40,15,FALSE)</f>
        <v>348.48</v>
      </c>
      <c r="Q39" s="412">
        <f>VLOOKUP(Q6,'Dados - Composição PCFP'!$D$5:$AA$40,15,FALSE)</f>
        <v>348.48</v>
      </c>
      <c r="R39" s="715">
        <f>VLOOKUP(R6,'Dados - Composição PCFP'!$D$5:$AA$40,15,FALSE)</f>
        <v>237.6</v>
      </c>
      <c r="S39" s="715">
        <f>VLOOKUP(S6,'Dados - Composição PCFP'!$D$5:$AA$40,15,FALSE)</f>
        <v>237.6</v>
      </c>
      <c r="T39" s="715">
        <f>VLOOKUP(T6,'Dados - Composição PCFP'!$D$5:$AA$40,15,FALSE)</f>
        <v>237.6</v>
      </c>
      <c r="U39" s="715">
        <f>VLOOKUP(U6,'Dados - Composição PCFP'!$D$5:$AA$40,15,FALSE)</f>
        <v>237.6</v>
      </c>
      <c r="V39" s="412">
        <f>VLOOKUP(V6,'Dados - Composição PCFP'!$D$5:$AA$40,15,FALSE)</f>
        <v>348.48</v>
      </c>
      <c r="W39" s="412">
        <f>VLOOKUP(W6,'Dados - Composição PCFP'!$D$5:$AA$40,15,FALSE)</f>
        <v>348.48</v>
      </c>
      <c r="X39" s="412">
        <f>VLOOKUP(X6,'Dados - Composição PCFP'!$D$5:$AA$40,15,FALSE)</f>
        <v>348.48</v>
      </c>
      <c r="Y39" s="412">
        <f>VLOOKUP(Y6,'Dados - Composição PCFP'!$D$5:$AA$40,15,FALSE)</f>
        <v>348.48</v>
      </c>
      <c r="Z39" s="412">
        <f>VLOOKUP(Z6,'Dados - Composição PCFP'!$D$5:$AA$40,15,FALSE)</f>
        <v>0</v>
      </c>
      <c r="AA39" s="412">
        <f>VLOOKUP(AA6,'Dados - Composição PCFP'!$D$5:$AA$40,15,FALSE)</f>
        <v>348.48</v>
      </c>
      <c r="AB39" s="412">
        <f>VLOOKUP(AB6,'Dados - Composição PCFP'!$D$5:$AA$40,15,FALSE)</f>
        <v>348.48</v>
      </c>
      <c r="AC39" s="412">
        <f>VLOOKUP(AC6,'Dados - Composição PCFP'!$D$5:$AA$40,15,FALSE)</f>
        <v>348.48</v>
      </c>
      <c r="AD39" s="412">
        <f>VLOOKUP(AD6,'Dados - Composição PCFP'!$D$5:$AA$40,15,FALSE)</f>
        <v>348.48</v>
      </c>
      <c r="AE39" s="412">
        <f>VLOOKUP(AE6,'Dados - Composição PCFP'!$D$5:$AA$40,15,FALSE)</f>
        <v>348.48</v>
      </c>
      <c r="AF39" s="412">
        <f>VLOOKUP(AF6,'Dados - Composição PCFP'!$D$5:$AA$40,15,FALSE)</f>
        <v>348.48</v>
      </c>
      <c r="AG39" s="412">
        <f>VLOOKUP(AG6,'Dados - Composição PCFP'!$D$5:$AA$40,15,FALSE)</f>
        <v>348.48</v>
      </c>
      <c r="AH39" s="412">
        <f>VLOOKUP(AH6,'Dados - Composição PCFP'!$D$5:$AA$40,15,FALSE)</f>
        <v>348.48</v>
      </c>
      <c r="AI39" s="412">
        <f>VLOOKUP(AI6,'Dados - Composição PCFP'!$D$5:$AA$40,15,FALSE)</f>
        <v>348.48</v>
      </c>
      <c r="AJ39" s="412">
        <f>VLOOKUP(AJ6,'Dados - Composição PCFP'!$D$5:$AA$40,15,FALSE)</f>
        <v>348.48</v>
      </c>
      <c r="AK39" s="412">
        <f>VLOOKUP(AK6,'Dados - Composição PCFP'!$D$5:$AA$40,15,FALSE)</f>
        <v>348.48</v>
      </c>
      <c r="AL39" s="412">
        <f>VLOOKUP(AL6,'Dados - Composição PCFP'!$D$5:$AA$40,15,FALSE)</f>
        <v>348.48</v>
      </c>
      <c r="AM39" s="412">
        <f>VLOOKUP(AM6,'Dados - Composição PCFP'!$D$5:$AA$40,15,FALSE)</f>
        <v>348.48</v>
      </c>
      <c r="AN39" s="412">
        <f>VLOOKUP(AN6,'Dados - Composição PCFP'!$D$5:$AA$40,15,FALSE)</f>
        <v>348.48</v>
      </c>
      <c r="AO39" s="412">
        <f>VLOOKUP(AO6,'Dados - Composição PCFP'!$D$5:$AA$40,15,FALSE)</f>
        <v>348.48</v>
      </c>
      <c r="AP39" s="412">
        <f>VLOOKUP(AP6,'Dados - Composição PCFP'!$D$5:$AA$40,15,FALSE)</f>
        <v>348.48</v>
      </c>
      <c r="AQ39" s="412">
        <f>VLOOKUP(AQ6,'Dados - Composição PCFP'!$D$5:$AA$40,15,FALSE)</f>
        <v>348.48</v>
      </c>
      <c r="AR39" s="412">
        <f>VLOOKUP(AR6,'Dados - Composição PCFP'!$D$5:$AA$40,15,FALSE)</f>
        <v>348.48</v>
      </c>
      <c r="AS39" s="412">
        <f>VLOOKUP(AS6,'Dados - Composição PCFP'!$D$5:$AA$40,15,FALSE)</f>
        <v>348.48</v>
      </c>
      <c r="AT39" s="412">
        <f>VLOOKUP(AT6,'Dados - Composição PCFP'!$D$5:$AA$40,15,FALSE)</f>
        <v>348.48</v>
      </c>
    </row>
    <row r="40" spans="1:46" s="584" customFormat="1">
      <c r="A40" s="1030" t="s">
        <v>191</v>
      </c>
      <c r="B40" s="1031"/>
      <c r="C40" s="1031"/>
      <c r="D40" s="1031"/>
      <c r="E40" s="1031"/>
      <c r="F40" s="1031"/>
      <c r="G40" s="1031"/>
      <c r="H40" s="1031"/>
      <c r="I40" s="1031"/>
      <c r="J40" s="1032"/>
      <c r="K40" s="412">
        <f>VLOOKUP(K6,'Dados - Composição PCFP'!$D$5:$AA$40,16,FALSE)</f>
        <v>20.32</v>
      </c>
      <c r="L40" s="412">
        <f>VLOOKUP(L6,'Dados - Composição PCFP'!$D$5:$AA$40,16,FALSE)</f>
        <v>20.32</v>
      </c>
      <c r="M40" s="412">
        <f>VLOOKUP(M6,'Dados - Composição PCFP'!$D$5:$AA$40,16,FALSE)</f>
        <v>20.32</v>
      </c>
      <c r="N40" s="412">
        <f>VLOOKUP(N6,'Dados - Composição PCFP'!$D$5:$AA$40,16,FALSE)</f>
        <v>20.32</v>
      </c>
      <c r="O40" s="412">
        <f>VLOOKUP(O6,'Dados - Composição PCFP'!$D$5:$AA$40,16,FALSE)</f>
        <v>20.32</v>
      </c>
      <c r="P40" s="412">
        <f>VLOOKUP(P6,'Dados - Composição PCFP'!$D$5:$AA$40,16,FALSE)</f>
        <v>20.32</v>
      </c>
      <c r="Q40" s="412">
        <f>VLOOKUP(Q6,'Dados - Composição PCFP'!$D$5:$AA$40,16,FALSE)</f>
        <v>20.32</v>
      </c>
      <c r="R40" s="715">
        <f>VLOOKUP(R6,'Dados - Composição PCFP'!$D$5:$AA$40,16,FALSE)</f>
        <v>20.32</v>
      </c>
      <c r="S40" s="715">
        <f>VLOOKUP(S6,'Dados - Composição PCFP'!$D$5:$AA$40,16,FALSE)</f>
        <v>20.32</v>
      </c>
      <c r="T40" s="715">
        <f>VLOOKUP(T6,'Dados - Composição PCFP'!$D$5:$AA$40,16,FALSE)</f>
        <v>20.32</v>
      </c>
      <c r="U40" s="715">
        <f>VLOOKUP(U6,'Dados - Composição PCFP'!$D$5:$AA$40,16,FALSE)</f>
        <v>20.32</v>
      </c>
      <c r="V40" s="412">
        <f>VLOOKUP(V6,'Dados - Composição PCFP'!$D$5:$AA$40,16,FALSE)</f>
        <v>20.32</v>
      </c>
      <c r="W40" s="412">
        <f>VLOOKUP(W6,'Dados - Composição PCFP'!$D$5:$AA$40,16,FALSE)</f>
        <v>20.32</v>
      </c>
      <c r="X40" s="412">
        <f>VLOOKUP(X6,'Dados - Composição PCFP'!$D$5:$AA$40,16,FALSE)</f>
        <v>20.32</v>
      </c>
      <c r="Y40" s="412">
        <f>VLOOKUP(Y6,'Dados - Composição PCFP'!$D$5:$AA$40,16,FALSE)</f>
        <v>20.32</v>
      </c>
      <c r="Z40" s="412">
        <f>VLOOKUP(Z6,'Dados - Composição PCFP'!$D$5:$AA$40,16,FALSE)</f>
        <v>20.32</v>
      </c>
      <c r="AA40" s="412">
        <f>VLOOKUP(AA6,'Dados - Composição PCFP'!$D$5:$AA$40,16,FALSE)</f>
        <v>20.32</v>
      </c>
      <c r="AB40" s="412">
        <f>VLOOKUP(AB6,'Dados - Composição PCFP'!$D$5:$AA$40,16,FALSE)</f>
        <v>20.32</v>
      </c>
      <c r="AC40" s="412">
        <f>VLOOKUP(AC6,'Dados - Composição PCFP'!$D$5:$AA$40,16,FALSE)</f>
        <v>20.32</v>
      </c>
      <c r="AD40" s="412">
        <f>VLOOKUP(AD6,'Dados - Composição PCFP'!$D$5:$AA$40,16,FALSE)</f>
        <v>20.32</v>
      </c>
      <c r="AE40" s="412">
        <f>VLOOKUP(AE6,'Dados - Composição PCFP'!$D$5:$AA$40,16,FALSE)</f>
        <v>20.32</v>
      </c>
      <c r="AF40" s="412">
        <f>VLOOKUP(AF6,'Dados - Composição PCFP'!$D$5:$AA$40,16,FALSE)</f>
        <v>20.32</v>
      </c>
      <c r="AG40" s="412">
        <f>VLOOKUP(AG6,'Dados - Composição PCFP'!$D$5:$AA$40,16,FALSE)</f>
        <v>20.32</v>
      </c>
      <c r="AH40" s="412">
        <f>VLOOKUP(AH6,'Dados - Composição PCFP'!$D$5:$AA$40,16,FALSE)</f>
        <v>20.32</v>
      </c>
      <c r="AI40" s="412">
        <f>VLOOKUP(AI6,'Dados - Composição PCFP'!$D$5:$AA$40,16,FALSE)</f>
        <v>20.32</v>
      </c>
      <c r="AJ40" s="412">
        <f>VLOOKUP(AJ6,'Dados - Composição PCFP'!$D$5:$AA$40,16,FALSE)</f>
        <v>20.32</v>
      </c>
      <c r="AK40" s="412">
        <f>VLOOKUP(AK6,'Dados - Composição PCFP'!$D$5:$AA$40,16,FALSE)</f>
        <v>20.32</v>
      </c>
      <c r="AL40" s="412">
        <f>VLOOKUP(AL6,'Dados - Composição PCFP'!$D$5:$AA$40,16,FALSE)</f>
        <v>20.32</v>
      </c>
      <c r="AM40" s="412">
        <f>VLOOKUP(AM6,'Dados - Composição PCFP'!$D$5:$AA$40,16,FALSE)</f>
        <v>20.32</v>
      </c>
      <c r="AN40" s="412">
        <f>VLOOKUP(AN6,'Dados - Composição PCFP'!$D$5:$AA$40,16,FALSE)</f>
        <v>20.32</v>
      </c>
      <c r="AO40" s="412">
        <f>VLOOKUP(AO6,'Dados - Composição PCFP'!$D$5:$AA$40,16,FALSE)</f>
        <v>20.32</v>
      </c>
      <c r="AP40" s="412">
        <f>VLOOKUP(AP6,'Dados - Composição PCFP'!$D$5:$AA$40,16,FALSE)</f>
        <v>20.32</v>
      </c>
      <c r="AQ40" s="412">
        <f>VLOOKUP(AQ6,'Dados - Composição PCFP'!$D$5:$AA$40,16,FALSE)</f>
        <v>20.32</v>
      </c>
      <c r="AR40" s="412">
        <f>VLOOKUP(AR6,'Dados - Composição PCFP'!$D$5:$AA$40,16,FALSE)</f>
        <v>20.32</v>
      </c>
      <c r="AS40" s="412">
        <f>VLOOKUP(AS6,'Dados - Composição PCFP'!$D$5:$AA$40,16,FALSE)</f>
        <v>20.32</v>
      </c>
      <c r="AT40" s="412">
        <f>VLOOKUP(AT6,'Dados - Composição PCFP'!$D$5:$AA$40,16,FALSE)</f>
        <v>20.32</v>
      </c>
    </row>
    <row r="41" spans="1:46" s="605" customFormat="1" ht="12" customHeight="1">
      <c r="A41" s="1030" t="s">
        <v>195</v>
      </c>
      <c r="B41" s="1031"/>
      <c r="C41" s="1031"/>
      <c r="D41" s="1031"/>
      <c r="E41" s="1031"/>
      <c r="F41" s="1031"/>
      <c r="G41" s="1031"/>
      <c r="H41" s="1031"/>
      <c r="I41" s="1031"/>
      <c r="J41" s="1032"/>
      <c r="K41" s="412">
        <f>VLOOKUP(K6,'Dados - Composição PCFP'!$D$5:$AA$40,17,FALSE)</f>
        <v>222.048</v>
      </c>
      <c r="L41" s="412">
        <f>VLOOKUP(L6,'Dados - Composição PCFP'!$D$5:$AA$40,17,FALSE)</f>
        <v>52.056100000000001</v>
      </c>
      <c r="M41" s="412">
        <f>VLOOKUP(M6,'Dados - Composição PCFP'!$D$5:$AA$40,17,FALSE)</f>
        <v>52.056100000000001</v>
      </c>
      <c r="N41" s="412">
        <f>VLOOKUP(N6,'Dados - Composição PCFP'!$D$5:$AA$40,17,FALSE)</f>
        <v>52.056100000000001</v>
      </c>
      <c r="O41" s="412">
        <f>VLOOKUP(O6,'Dados - Composição PCFP'!$D$5:$AA$40,17,FALSE)</f>
        <v>52.056100000000001</v>
      </c>
      <c r="P41" s="412">
        <f>VLOOKUP(P6,'Dados - Composição PCFP'!$D$5:$AA$40,17,FALSE)</f>
        <v>52.056100000000001</v>
      </c>
      <c r="Q41" s="412">
        <f>VLOOKUP(Q6,'Dados - Composição PCFP'!$D$5:$AA$40,17,FALSE)</f>
        <v>52.056100000000001</v>
      </c>
      <c r="R41" s="715">
        <f>VLOOKUP(R6,'Dados - Composição PCFP'!$D$5:$AA$40,17,FALSE)</f>
        <v>52.056100000000001</v>
      </c>
      <c r="S41" s="715">
        <f>VLOOKUP(S6,'Dados - Composição PCFP'!$D$5:$AA$40,17,FALSE)</f>
        <v>52.056100000000001</v>
      </c>
      <c r="T41" s="715">
        <f>VLOOKUP(T6,'Dados - Composição PCFP'!$D$5:$AA$40,17,FALSE)</f>
        <v>52.056100000000001</v>
      </c>
      <c r="U41" s="715">
        <f>VLOOKUP(U6,'Dados - Composição PCFP'!$D$5:$AA$40,17,FALSE)</f>
        <v>52.056100000000001</v>
      </c>
      <c r="V41" s="412">
        <f>VLOOKUP(V6,'Dados - Composição PCFP'!$D$5:$AA$40,17,FALSE)</f>
        <v>52.056100000000001</v>
      </c>
      <c r="W41" s="412">
        <f>VLOOKUP(W6,'Dados - Composição PCFP'!$D$5:$AA$40,17,FALSE)</f>
        <v>52.056100000000001</v>
      </c>
      <c r="X41" s="412">
        <f>VLOOKUP(X6,'Dados - Composição PCFP'!$D$5:$AA$40,17,FALSE)</f>
        <v>52.056100000000001</v>
      </c>
      <c r="Y41" s="412">
        <f>VLOOKUP(Y6,'Dados - Composição PCFP'!$D$5:$AA$40,17,FALSE)</f>
        <v>52.056100000000001</v>
      </c>
      <c r="Z41" s="412">
        <f>VLOOKUP(Z6,'Dados - Composição PCFP'!$D$5:$AA$40,17,FALSE)</f>
        <v>54.6494</v>
      </c>
      <c r="AA41" s="412">
        <f>VLOOKUP(AA6,'Dados - Composição PCFP'!$D$5:$AA$40,17,FALSE)</f>
        <v>52.056100000000001</v>
      </c>
      <c r="AB41" s="412">
        <f>VLOOKUP(AB6,'Dados - Composição PCFP'!$D$5:$AA$40,17,FALSE)</f>
        <v>52.056100000000001</v>
      </c>
      <c r="AC41" s="412">
        <f>VLOOKUP(AC6,'Dados - Composição PCFP'!$D$5:$AA$40,17,FALSE)</f>
        <v>52.056100000000001</v>
      </c>
      <c r="AD41" s="412">
        <f>VLOOKUP(AD6,'Dados - Composição PCFP'!$D$5:$AA$40,17,FALSE)</f>
        <v>52.056100000000001</v>
      </c>
      <c r="AE41" s="412">
        <f>VLOOKUP(AE6,'Dados - Composição PCFP'!$D$5:$AA$40,17,FALSE)</f>
        <v>52.056100000000001</v>
      </c>
      <c r="AF41" s="412">
        <f>VLOOKUP(AF6,'Dados - Composição PCFP'!$D$5:$AA$40,17,FALSE)</f>
        <v>52.056100000000001</v>
      </c>
      <c r="AG41" s="412">
        <f>VLOOKUP(AG6,'Dados - Composição PCFP'!$D$5:$AA$40,17,FALSE)</f>
        <v>52.056100000000001</v>
      </c>
      <c r="AH41" s="412">
        <f>VLOOKUP(AH6,'Dados - Composição PCFP'!$D$5:$AA$40,17,FALSE)</f>
        <v>52.056100000000001</v>
      </c>
      <c r="AI41" s="412">
        <f>VLOOKUP(AI6,'Dados - Composição PCFP'!$D$5:$AA$40,17,FALSE)</f>
        <v>52.056100000000001</v>
      </c>
      <c r="AJ41" s="412">
        <f>VLOOKUP(AJ6,'Dados - Composição PCFP'!$D$5:$AA$40,17,FALSE)</f>
        <v>52.056100000000001</v>
      </c>
      <c r="AK41" s="412">
        <f>VLOOKUP(AK6,'Dados - Composição PCFP'!$D$5:$AA$40,17,FALSE)</f>
        <v>52.056100000000001</v>
      </c>
      <c r="AL41" s="412">
        <f>VLOOKUP(AL6,'Dados - Composição PCFP'!$D$5:$AA$40,17,FALSE)</f>
        <v>52.056100000000001</v>
      </c>
      <c r="AM41" s="412">
        <f>VLOOKUP(AM6,'Dados - Composição PCFP'!$D$5:$AA$40,17,FALSE)</f>
        <v>52.056100000000001</v>
      </c>
      <c r="AN41" s="412">
        <f>VLOOKUP(AN6,'Dados - Composição PCFP'!$D$5:$AA$40,17,FALSE)</f>
        <v>52.056100000000001</v>
      </c>
      <c r="AO41" s="412">
        <f>VLOOKUP(AO6,'Dados - Composição PCFP'!$D$5:$AA$40,17,FALSE)</f>
        <v>52.056100000000001</v>
      </c>
      <c r="AP41" s="412">
        <f>VLOOKUP(AP6,'Dados - Composição PCFP'!$D$5:$AA$40,17,FALSE)</f>
        <v>52.056100000000001</v>
      </c>
      <c r="AQ41" s="412">
        <f>VLOOKUP(AQ6,'Dados - Composição PCFP'!$D$5:$AA$40,17,FALSE)</f>
        <v>52.056100000000001</v>
      </c>
      <c r="AR41" s="412">
        <f>VLOOKUP(AR6,'Dados - Composição PCFP'!$D$5:$AA$40,17,FALSE)</f>
        <v>52.056100000000001</v>
      </c>
      <c r="AS41" s="412">
        <f>VLOOKUP(AS6,'Dados - Composição PCFP'!$D$5:$AA$40,17,FALSE)</f>
        <v>52.056100000000001</v>
      </c>
      <c r="AT41" s="412">
        <f>VLOOKUP(AT6,'Dados - Composição PCFP'!$D$5:$AA$40,17,FALSE)</f>
        <v>52.056100000000001</v>
      </c>
    </row>
    <row r="42" spans="1:46" s="584" customFormat="1" ht="12.75" customHeight="1">
      <c r="A42" s="1030" t="s">
        <v>201</v>
      </c>
      <c r="B42" s="1031"/>
      <c r="C42" s="1031"/>
      <c r="D42" s="1031"/>
      <c r="E42" s="1031"/>
      <c r="F42" s="1031"/>
      <c r="G42" s="1031"/>
      <c r="H42" s="1031"/>
      <c r="I42" s="1031"/>
      <c r="J42" s="1032"/>
      <c r="K42" s="412">
        <f>VLOOKUP(K6,'Dados - Composição PCFP'!$D$5:$AA$40,18,FALSE)</f>
        <v>0</v>
      </c>
      <c r="L42" s="412">
        <f>VLOOKUP(L6,'Dados - Composição PCFP'!$D$5:$AA$40,18,FALSE)</f>
        <v>0</v>
      </c>
      <c r="M42" s="412">
        <f>VLOOKUP(M6,'Dados - Composição PCFP'!$D$5:$AA$40,18,FALSE)</f>
        <v>0</v>
      </c>
      <c r="N42" s="412">
        <f>VLOOKUP(N6,'Dados - Composição PCFP'!$D$5:$AA$40,18,FALSE)</f>
        <v>0</v>
      </c>
      <c r="O42" s="412">
        <f>VLOOKUP(O6,'Dados - Composição PCFP'!$D$5:$AA$40,18,FALSE)</f>
        <v>0</v>
      </c>
      <c r="P42" s="412">
        <f>VLOOKUP(P6,'Dados - Composição PCFP'!$D$5:$AA$40,18,FALSE)</f>
        <v>0</v>
      </c>
      <c r="Q42" s="412">
        <f>VLOOKUP(Q6,'Dados - Composição PCFP'!$D$5:$AA$40,18,FALSE)</f>
        <v>0</v>
      </c>
      <c r="R42" s="715">
        <f>VLOOKUP(R6,'Dados - Composição PCFP'!$D$5:$AA$40,18,FALSE)</f>
        <v>0</v>
      </c>
      <c r="S42" s="715">
        <f>VLOOKUP(S6,'Dados - Composição PCFP'!$D$5:$AA$40,18,FALSE)</f>
        <v>0</v>
      </c>
      <c r="T42" s="715">
        <f>VLOOKUP(T6,'Dados - Composição PCFP'!$D$5:$AA$40,18,FALSE)</f>
        <v>0</v>
      </c>
      <c r="U42" s="715">
        <f>VLOOKUP(U6,'Dados - Composição PCFP'!$D$5:$AA$40,18,FALSE)</f>
        <v>0</v>
      </c>
      <c r="V42" s="412">
        <f>VLOOKUP(V6,'Dados - Composição PCFP'!$D$5:$AA$40,18,FALSE)</f>
        <v>0</v>
      </c>
      <c r="W42" s="412">
        <f>VLOOKUP(W6,'Dados - Composição PCFP'!$D$5:$AA$40,18,FALSE)</f>
        <v>0</v>
      </c>
      <c r="X42" s="412">
        <f>VLOOKUP(X6,'Dados - Composição PCFP'!$D$5:$AA$40,18,FALSE)</f>
        <v>0</v>
      </c>
      <c r="Y42" s="412">
        <f>VLOOKUP(Y6,'Dados - Composição PCFP'!$D$5:$AA$40,18,FALSE)</f>
        <v>0</v>
      </c>
      <c r="Z42" s="412">
        <f>VLOOKUP(Z6,'Dados - Composição PCFP'!$D$5:$AA$40,18,FALSE)</f>
        <v>0</v>
      </c>
      <c r="AA42" s="412">
        <f>VLOOKUP(AA6,'Dados - Composição PCFP'!$D$5:$AA$40,18,FALSE)</f>
        <v>0</v>
      </c>
      <c r="AB42" s="412">
        <f>VLOOKUP(AB6,'Dados - Composição PCFP'!$D$5:$AA$40,18,FALSE)</f>
        <v>0</v>
      </c>
      <c r="AC42" s="412">
        <f>VLOOKUP(AC6,'Dados - Composição PCFP'!$D$5:$AA$40,18,FALSE)</f>
        <v>0</v>
      </c>
      <c r="AD42" s="412">
        <f>VLOOKUP(AD6,'Dados - Composição PCFP'!$D$5:$AA$40,18,FALSE)</f>
        <v>0</v>
      </c>
      <c r="AE42" s="412">
        <f>VLOOKUP(AE6,'Dados - Composição PCFP'!$D$5:$AA$40,18,FALSE)</f>
        <v>0</v>
      </c>
      <c r="AF42" s="412">
        <f>VLOOKUP(AF6,'Dados - Composição PCFP'!$D$5:$AA$40,18,FALSE)</f>
        <v>0</v>
      </c>
      <c r="AG42" s="412">
        <f>VLOOKUP(AG6,'Dados - Composição PCFP'!$D$5:$AA$40,18,FALSE)</f>
        <v>0</v>
      </c>
      <c r="AH42" s="412">
        <f>VLOOKUP(AH6,'Dados - Composição PCFP'!$D$5:$AA$40,18,FALSE)</f>
        <v>0</v>
      </c>
      <c r="AI42" s="412">
        <f>VLOOKUP(AI6,'Dados - Composição PCFP'!$D$5:$AA$40,18,FALSE)</f>
        <v>0</v>
      </c>
      <c r="AJ42" s="412">
        <f>VLOOKUP(AJ6,'Dados - Composição PCFP'!$D$5:$AA$40,18,FALSE)</f>
        <v>0</v>
      </c>
      <c r="AK42" s="412">
        <f>VLOOKUP(AK6,'Dados - Composição PCFP'!$D$5:$AA$40,18,FALSE)</f>
        <v>0</v>
      </c>
      <c r="AL42" s="412">
        <f>VLOOKUP(AL6,'Dados - Composição PCFP'!$D$5:$AA$40,18,FALSE)</f>
        <v>0</v>
      </c>
      <c r="AM42" s="412">
        <f>VLOOKUP(AM6,'Dados - Composição PCFP'!$D$5:$AA$40,18,FALSE)</f>
        <v>0</v>
      </c>
      <c r="AN42" s="412">
        <f>VLOOKUP(AN6,'Dados - Composição PCFP'!$D$5:$AA$40,18,FALSE)</f>
        <v>0</v>
      </c>
      <c r="AO42" s="412">
        <f>VLOOKUP(AO6,'Dados - Composição PCFP'!$D$5:$AA$40,18,FALSE)</f>
        <v>0</v>
      </c>
      <c r="AP42" s="412">
        <f>VLOOKUP(AP6,'Dados - Composição PCFP'!$D$5:$AA$40,18,FALSE)</f>
        <v>0</v>
      </c>
      <c r="AQ42" s="412">
        <f>VLOOKUP(AQ6,'Dados - Composição PCFP'!$D$5:$AA$40,18,FALSE)</f>
        <v>0</v>
      </c>
      <c r="AR42" s="412">
        <f>VLOOKUP(AR6,'Dados - Composição PCFP'!$D$5:$AA$40,18,FALSE)</f>
        <v>0</v>
      </c>
      <c r="AS42" s="412">
        <f>VLOOKUP(AS6,'Dados - Composição PCFP'!$D$5:$AA$40,18,FALSE)</f>
        <v>0</v>
      </c>
      <c r="AT42" s="412">
        <f>VLOOKUP(AT6,'Dados - Composição PCFP'!$D$5:$AA$40,18,FALSE)</f>
        <v>0</v>
      </c>
    </row>
    <row r="43" spans="1:46" s="584" customFormat="1" ht="12.75" customHeight="1">
      <c r="A43" s="1030" t="s">
        <v>202</v>
      </c>
      <c r="B43" s="1031"/>
      <c r="C43" s="1031"/>
      <c r="D43" s="1031"/>
      <c r="E43" s="1031"/>
      <c r="F43" s="1031"/>
      <c r="G43" s="1031"/>
      <c r="H43" s="1031"/>
      <c r="I43" s="1031"/>
      <c r="J43" s="1032"/>
      <c r="K43" s="412">
        <f>VLOOKUP(K6,'Dados - Composição PCFP'!$D$5:$AA$40,19,FALSE)</f>
        <v>16.287000000000003</v>
      </c>
      <c r="L43" s="412">
        <f>VLOOKUP(L6,'Dados - Composição PCFP'!$D$5:$AA$40,19,FALSE)</f>
        <v>25.139100000000003</v>
      </c>
      <c r="M43" s="412">
        <f>VLOOKUP(M6,'Dados - Composição PCFP'!$D$5:$AA$40,19,FALSE)</f>
        <v>25.139100000000003</v>
      </c>
      <c r="N43" s="412">
        <f>VLOOKUP(N6,'Dados - Composição PCFP'!$D$5:$AA$40,19,FALSE)</f>
        <v>25.139100000000003</v>
      </c>
      <c r="O43" s="412">
        <f>VLOOKUP(O6,'Dados - Composição PCFP'!$D$5:$AA$40,19,FALSE)</f>
        <v>25.139100000000003</v>
      </c>
      <c r="P43" s="412">
        <f>VLOOKUP(P6,'Dados - Composição PCFP'!$D$5:$AA$40,19,FALSE)</f>
        <v>25.139100000000003</v>
      </c>
      <c r="Q43" s="412">
        <f>VLOOKUP(Q6,'Dados - Composição PCFP'!$D$5:$AA$40,19,FALSE)</f>
        <v>25.139100000000003</v>
      </c>
      <c r="R43" s="715">
        <f>VLOOKUP(R6,'Dados - Composição PCFP'!$D$5:$AA$40,19,FALSE)</f>
        <v>25.139100000000003</v>
      </c>
      <c r="S43" s="715">
        <f>VLOOKUP(S6,'Dados - Composição PCFP'!$D$5:$AA$40,19,FALSE)</f>
        <v>25.139100000000003</v>
      </c>
      <c r="T43" s="715">
        <f>VLOOKUP(T6,'Dados - Composição PCFP'!$D$5:$AA$40,19,FALSE)</f>
        <v>25.139100000000003</v>
      </c>
      <c r="U43" s="715">
        <f>VLOOKUP(U6,'Dados - Composição PCFP'!$D$5:$AA$40,19,FALSE)</f>
        <v>25.139100000000003</v>
      </c>
      <c r="V43" s="412">
        <f>VLOOKUP(V6,'Dados - Composição PCFP'!$D$5:$AA$40,19,FALSE)</f>
        <v>25.139100000000003</v>
      </c>
      <c r="W43" s="412">
        <f>VLOOKUP(W6,'Dados - Composição PCFP'!$D$5:$AA$40,19,FALSE)</f>
        <v>25.139100000000003</v>
      </c>
      <c r="X43" s="412">
        <f>VLOOKUP(X6,'Dados - Composição PCFP'!$D$5:$AA$40,19,FALSE)</f>
        <v>25.139100000000003</v>
      </c>
      <c r="Y43" s="412">
        <f>VLOOKUP(Y6,'Dados - Composição PCFP'!$D$5:$AA$40,19,FALSE)</f>
        <v>25.139100000000003</v>
      </c>
      <c r="Z43" s="412">
        <f>VLOOKUP(Z6,'Dados - Composição PCFP'!$D$5:$AA$40,19,FALSE)</f>
        <v>13.195750000000004</v>
      </c>
      <c r="AA43" s="412">
        <f>VLOOKUP(AA6,'Dados - Composição PCFP'!$D$5:$AA$40,19,FALSE)</f>
        <v>25.139100000000003</v>
      </c>
      <c r="AB43" s="412">
        <f>VLOOKUP(AB6,'Dados - Composição PCFP'!$D$5:$AA$40,19,FALSE)</f>
        <v>25.139100000000003</v>
      </c>
      <c r="AC43" s="412">
        <f>VLOOKUP(AC6,'Dados - Composição PCFP'!$D$5:$AA$40,19,FALSE)</f>
        <v>25.139100000000003</v>
      </c>
      <c r="AD43" s="412">
        <f>VLOOKUP(AD6,'Dados - Composição PCFP'!$D$5:$AA$40,19,FALSE)</f>
        <v>25.139100000000003</v>
      </c>
      <c r="AE43" s="412">
        <f>VLOOKUP(AE6,'Dados - Composição PCFP'!$D$5:$AA$40,19,FALSE)</f>
        <v>25.139100000000003</v>
      </c>
      <c r="AF43" s="412">
        <f>VLOOKUP(AF6,'Dados - Composição PCFP'!$D$5:$AA$40,19,FALSE)</f>
        <v>25.139100000000003</v>
      </c>
      <c r="AG43" s="412">
        <f>VLOOKUP(AG6,'Dados - Composição PCFP'!$D$5:$AA$40,19,FALSE)</f>
        <v>25.139100000000003</v>
      </c>
      <c r="AH43" s="412">
        <f>VLOOKUP(AH6,'Dados - Composição PCFP'!$D$5:$AA$40,19,FALSE)</f>
        <v>25.139100000000003</v>
      </c>
      <c r="AI43" s="412">
        <f>VLOOKUP(AI6,'Dados - Composição PCFP'!$D$5:$AA$40,19,FALSE)</f>
        <v>25.139100000000003</v>
      </c>
      <c r="AJ43" s="412">
        <f>VLOOKUP(AJ6,'Dados - Composição PCFP'!$D$5:$AA$40,19,FALSE)</f>
        <v>25.139100000000003</v>
      </c>
      <c r="AK43" s="412">
        <f>VLOOKUP(AK6,'Dados - Composição PCFP'!$D$5:$AA$40,19,FALSE)</f>
        <v>25.139100000000003</v>
      </c>
      <c r="AL43" s="412">
        <f>VLOOKUP(AL6,'Dados - Composição PCFP'!$D$5:$AA$40,19,FALSE)</f>
        <v>25.139100000000003</v>
      </c>
      <c r="AM43" s="412">
        <f>VLOOKUP(AM6,'Dados - Composição PCFP'!$D$5:$AA$40,19,FALSE)</f>
        <v>25.139100000000003</v>
      </c>
      <c r="AN43" s="412">
        <f>VLOOKUP(AN6,'Dados - Composição PCFP'!$D$5:$AA$40,19,FALSE)</f>
        <v>25.139100000000003</v>
      </c>
      <c r="AO43" s="412">
        <f>VLOOKUP(AO6,'Dados - Composição PCFP'!$D$5:$AA$40,19,FALSE)</f>
        <v>25.139100000000003</v>
      </c>
      <c r="AP43" s="412">
        <f>VLOOKUP(AP6,'Dados - Composição PCFP'!$D$5:$AA$40,19,FALSE)</f>
        <v>25.139100000000003</v>
      </c>
      <c r="AQ43" s="412">
        <f>VLOOKUP(AQ6,'Dados - Composição PCFP'!$D$5:$AA$40,19,FALSE)</f>
        <v>25.139100000000003</v>
      </c>
      <c r="AR43" s="412">
        <f>VLOOKUP(AR6,'Dados - Composição PCFP'!$D$5:$AA$40,19,FALSE)</f>
        <v>25.139100000000003</v>
      </c>
      <c r="AS43" s="412">
        <f>VLOOKUP(AS6,'Dados - Composição PCFP'!$D$5:$AA$40,19,FALSE)</f>
        <v>25.139100000000003</v>
      </c>
      <c r="AT43" s="412">
        <f>VLOOKUP(AT6,'Dados - Composição PCFP'!$D$5:$AA$40,19,FALSE)</f>
        <v>25.139100000000003</v>
      </c>
    </row>
    <row r="44" spans="1:46" s="584" customFormat="1" ht="12.75" customHeight="1">
      <c r="A44" s="1030" t="s">
        <v>844</v>
      </c>
      <c r="B44" s="1031"/>
      <c r="C44" s="1031"/>
      <c r="D44" s="1031"/>
      <c r="E44" s="1031"/>
      <c r="F44" s="1031"/>
      <c r="G44" s="1031"/>
      <c r="H44" s="1031"/>
      <c r="I44" s="1031"/>
      <c r="J44" s="1032"/>
      <c r="K44" s="412">
        <f>VLOOKUP(K6,'Dados - Composição PCFP'!$D$5:$AA$40,20,FALSE)</f>
        <v>0</v>
      </c>
      <c r="L44" s="412">
        <f>VLOOKUP(L6,'Dados - Composição PCFP'!$D$5:$AA$40,20,FALSE)</f>
        <v>0</v>
      </c>
      <c r="M44" s="412">
        <f>VLOOKUP(M6,'Dados - Composição PCFP'!$D$5:$AA$40,20,FALSE)</f>
        <v>0</v>
      </c>
      <c r="N44" s="412">
        <f>VLOOKUP(N6,'Dados - Composição PCFP'!$D$5:$AA$40,20,FALSE)</f>
        <v>0</v>
      </c>
      <c r="O44" s="412">
        <f>VLOOKUP(O6,'Dados - Composição PCFP'!$D$5:$AA$40,20,FALSE)</f>
        <v>0</v>
      </c>
      <c r="P44" s="412">
        <f>VLOOKUP(P6,'Dados - Composição PCFP'!$D$5:$AA$40,20,FALSE)</f>
        <v>0</v>
      </c>
      <c r="Q44" s="412">
        <f>VLOOKUP(Q6,'Dados - Composição PCFP'!$D$5:$AA$40,20,FALSE)</f>
        <v>0</v>
      </c>
      <c r="R44" s="715">
        <f>VLOOKUP(R6,'Dados - Composição PCFP'!$D$5:$AA$40,20,FALSE)</f>
        <v>0</v>
      </c>
      <c r="S44" s="715">
        <f>VLOOKUP(S6,'Dados - Composição PCFP'!$D$5:$AA$40,20,FALSE)</f>
        <v>0</v>
      </c>
      <c r="T44" s="715">
        <f>VLOOKUP(T6,'Dados - Composição PCFP'!$D$5:$AA$40,20,FALSE)</f>
        <v>0</v>
      </c>
      <c r="U44" s="715">
        <f>VLOOKUP(U6,'Dados - Composição PCFP'!$D$5:$AA$40,20,FALSE)</f>
        <v>0</v>
      </c>
      <c r="V44" s="412">
        <f>VLOOKUP(V6,'Dados - Composição PCFP'!$D$5:$AA$40,20,FALSE)</f>
        <v>0</v>
      </c>
      <c r="W44" s="412">
        <f>VLOOKUP(W6,'Dados - Composição PCFP'!$D$5:$AA$40,20,FALSE)</f>
        <v>0</v>
      </c>
      <c r="X44" s="412">
        <f>VLOOKUP(X6,'Dados - Composição PCFP'!$D$5:$AA$40,20,FALSE)</f>
        <v>0</v>
      </c>
      <c r="Y44" s="412">
        <f>VLOOKUP(Y6,'Dados - Composição PCFP'!$D$5:$AA$40,20,FALSE)</f>
        <v>0</v>
      </c>
      <c r="Z44" s="412">
        <f>VLOOKUP(Z6,'Dados - Composição PCFP'!$D$5:$AA$40,20,FALSE)</f>
        <v>13.195750000000004</v>
      </c>
      <c r="AA44" s="412">
        <f>VLOOKUP(AA6,'Dados - Composição PCFP'!$D$5:$AA$40,20,FALSE)</f>
        <v>0</v>
      </c>
      <c r="AB44" s="412">
        <f>VLOOKUP(AB6,'Dados - Composição PCFP'!$D$5:$AA$40,20,FALSE)</f>
        <v>0</v>
      </c>
      <c r="AC44" s="412">
        <f>VLOOKUP(AC6,'Dados - Composição PCFP'!$D$5:$AA$40,20,FALSE)</f>
        <v>0</v>
      </c>
      <c r="AD44" s="412">
        <f>VLOOKUP(AD6,'Dados - Composição PCFP'!$D$5:$AA$40,20,FALSE)</f>
        <v>0</v>
      </c>
      <c r="AE44" s="412">
        <f>VLOOKUP(AE6,'Dados - Composição PCFP'!$D$5:$AA$40,20,FALSE)</f>
        <v>0</v>
      </c>
      <c r="AF44" s="412">
        <f>VLOOKUP(AF6,'Dados - Composição PCFP'!$D$5:$AA$40,20,FALSE)</f>
        <v>0</v>
      </c>
      <c r="AG44" s="412">
        <f>VLOOKUP(AG6,'Dados - Composição PCFP'!$D$5:$AA$40,20,FALSE)</f>
        <v>0</v>
      </c>
      <c r="AH44" s="412">
        <f>VLOOKUP(AH6,'Dados - Composição PCFP'!$D$5:$AA$40,20,FALSE)</f>
        <v>0</v>
      </c>
      <c r="AI44" s="412">
        <f>VLOOKUP(AI6,'Dados - Composição PCFP'!$D$5:$AA$40,20,FALSE)</f>
        <v>0</v>
      </c>
      <c r="AJ44" s="412">
        <f>VLOOKUP(AJ6,'Dados - Composição PCFP'!$D$5:$AA$40,20,FALSE)</f>
        <v>0</v>
      </c>
      <c r="AK44" s="412">
        <f>VLOOKUP(AK6,'Dados - Composição PCFP'!$D$5:$AA$40,20,FALSE)</f>
        <v>0</v>
      </c>
      <c r="AL44" s="412">
        <f>VLOOKUP(AL6,'Dados - Composição PCFP'!$D$5:$AA$40,20,FALSE)</f>
        <v>0</v>
      </c>
      <c r="AM44" s="412">
        <f>VLOOKUP(AM6,'Dados - Composição PCFP'!$D$5:$AA$40,20,FALSE)</f>
        <v>0</v>
      </c>
      <c r="AN44" s="412">
        <f>VLOOKUP(AN6,'Dados - Composição PCFP'!$D$5:$AA$40,20,FALSE)</f>
        <v>0</v>
      </c>
      <c r="AO44" s="412">
        <f>VLOOKUP(AO6,'Dados - Composição PCFP'!$D$5:$AA$40,20,FALSE)</f>
        <v>0</v>
      </c>
      <c r="AP44" s="412">
        <f>VLOOKUP(AP6,'Dados - Composição PCFP'!$D$5:$AA$40,20,FALSE)</f>
        <v>0</v>
      </c>
      <c r="AQ44" s="412">
        <f>VLOOKUP(AQ6,'Dados - Composição PCFP'!$D$5:$AA$40,20,FALSE)</f>
        <v>0</v>
      </c>
      <c r="AR44" s="412">
        <f>VLOOKUP(AR6,'Dados - Composição PCFP'!$D$5:$AA$40,20,FALSE)</f>
        <v>0</v>
      </c>
      <c r="AS44" s="412">
        <f>VLOOKUP(AS6,'Dados - Composição PCFP'!$D$5:$AA$40,20,FALSE)</f>
        <v>0</v>
      </c>
      <c r="AT44" s="412">
        <f>VLOOKUP(AT6,'Dados - Composição PCFP'!$D$5:$AA$40,20,FALSE)</f>
        <v>0</v>
      </c>
    </row>
    <row r="45" spans="1:46" s="584" customFormat="1" ht="12.75" customHeight="1">
      <c r="A45" s="1030" t="s">
        <v>209</v>
      </c>
      <c r="B45" s="1031"/>
      <c r="C45" s="1031"/>
      <c r="D45" s="1031"/>
      <c r="E45" s="1031"/>
      <c r="F45" s="1031"/>
      <c r="G45" s="1031"/>
      <c r="H45" s="1031"/>
      <c r="I45" s="1031"/>
      <c r="J45" s="1032"/>
      <c r="K45" s="412">
        <f>VLOOKUP(K6,'Dados - Composição PCFP'!$D$5:$AA$40,21,FALSE)</f>
        <v>0</v>
      </c>
      <c r="L45" s="412">
        <f>VLOOKUP(L6,'Dados - Composição PCFP'!$D$5:$AA$40,21,FALSE)</f>
        <v>0</v>
      </c>
      <c r="M45" s="412">
        <f>VLOOKUP(M6,'Dados - Composição PCFP'!$D$5:$AA$40,21,FALSE)</f>
        <v>0</v>
      </c>
      <c r="N45" s="412">
        <f>VLOOKUP(N6,'Dados - Composição PCFP'!$D$5:$AA$40,21,FALSE)</f>
        <v>0</v>
      </c>
      <c r="O45" s="412">
        <f>VLOOKUP(O6,'Dados - Composição PCFP'!$D$5:$AA$40,21,FALSE)</f>
        <v>0</v>
      </c>
      <c r="P45" s="412">
        <f>VLOOKUP(P6,'Dados - Composição PCFP'!$D$5:$AA$40,21,FALSE)</f>
        <v>0</v>
      </c>
      <c r="Q45" s="412">
        <f>VLOOKUP(Q6,'Dados - Composição PCFP'!$D$5:$AA$40,21,FALSE)</f>
        <v>0</v>
      </c>
      <c r="R45" s="715">
        <f>VLOOKUP(R6,'Dados - Composição PCFP'!$D$5:$AA$40,21,FALSE)</f>
        <v>0</v>
      </c>
      <c r="S45" s="715">
        <f>VLOOKUP(S6,'Dados - Composição PCFP'!$D$5:$AA$40,21,FALSE)</f>
        <v>0</v>
      </c>
      <c r="T45" s="715">
        <f>VLOOKUP(T6,'Dados - Composição PCFP'!$D$5:$AA$40,21,FALSE)</f>
        <v>0</v>
      </c>
      <c r="U45" s="715">
        <f>VLOOKUP(U6,'Dados - Composição PCFP'!$D$5:$AA$40,21,FALSE)</f>
        <v>0</v>
      </c>
      <c r="V45" s="412">
        <f>VLOOKUP(V6,'Dados - Composição PCFP'!$D$5:$AA$40,21,FALSE)</f>
        <v>0</v>
      </c>
      <c r="W45" s="412">
        <f>VLOOKUP(W6,'Dados - Composição PCFP'!$D$5:$AA$40,21,FALSE)</f>
        <v>0</v>
      </c>
      <c r="X45" s="412">
        <f>VLOOKUP(X6,'Dados - Composição PCFP'!$D$5:$AA$40,21,FALSE)</f>
        <v>0</v>
      </c>
      <c r="Y45" s="412">
        <f>VLOOKUP(Y6,'Dados - Composição PCFP'!$D$5:$AA$40,21,FALSE)</f>
        <v>0</v>
      </c>
      <c r="Z45" s="412">
        <f>VLOOKUP(Z6,'Dados - Composição PCFP'!$D$5:$AA$40,21,FALSE)</f>
        <v>8.7999999999999989</v>
      </c>
      <c r="AA45" s="412">
        <f>VLOOKUP(AA6,'Dados - Composição PCFP'!$D$5:$AA$40,21,FALSE)</f>
        <v>0</v>
      </c>
      <c r="AB45" s="412">
        <f>VLOOKUP(AB6,'Dados - Composição PCFP'!$D$5:$AA$40,21,FALSE)</f>
        <v>0</v>
      </c>
      <c r="AC45" s="412">
        <f>VLOOKUP(AC6,'Dados - Composição PCFP'!$D$5:$AA$40,21,FALSE)</f>
        <v>0</v>
      </c>
      <c r="AD45" s="412">
        <f>VLOOKUP(AD6,'Dados - Composição PCFP'!$D$5:$AA$40,21,FALSE)</f>
        <v>0</v>
      </c>
      <c r="AE45" s="412">
        <f>VLOOKUP(AE6,'Dados - Composição PCFP'!$D$5:$AA$40,21,FALSE)</f>
        <v>0</v>
      </c>
      <c r="AF45" s="412">
        <f>VLOOKUP(AF6,'Dados - Composição PCFP'!$D$5:$AA$40,21,FALSE)</f>
        <v>0</v>
      </c>
      <c r="AG45" s="412">
        <f>VLOOKUP(AG6,'Dados - Composição PCFP'!$D$5:$AA$40,21,FALSE)</f>
        <v>0</v>
      </c>
      <c r="AH45" s="412">
        <f>VLOOKUP(AH6,'Dados - Composição PCFP'!$D$5:$AA$40,21,FALSE)</f>
        <v>0</v>
      </c>
      <c r="AI45" s="412">
        <f>VLOOKUP(AI6,'Dados - Composição PCFP'!$D$5:$AA$40,21,FALSE)</f>
        <v>0</v>
      </c>
      <c r="AJ45" s="412">
        <f>VLOOKUP(AJ6,'Dados - Composição PCFP'!$D$5:$AA$40,21,FALSE)</f>
        <v>0</v>
      </c>
      <c r="AK45" s="412">
        <f>VLOOKUP(AK6,'Dados - Composição PCFP'!$D$5:$AA$40,21,FALSE)</f>
        <v>0</v>
      </c>
      <c r="AL45" s="412">
        <f>VLOOKUP(AL6,'Dados - Composição PCFP'!$D$5:$AA$40,21,FALSE)</f>
        <v>0</v>
      </c>
      <c r="AM45" s="412">
        <f>VLOOKUP(AM6,'Dados - Composição PCFP'!$D$5:$AA$40,21,FALSE)</f>
        <v>0</v>
      </c>
      <c r="AN45" s="412">
        <f>VLOOKUP(AN6,'Dados - Composição PCFP'!$D$5:$AA$40,21,FALSE)</f>
        <v>0</v>
      </c>
      <c r="AO45" s="412">
        <f>VLOOKUP(AO6,'Dados - Composição PCFP'!$D$5:$AA$40,21,FALSE)</f>
        <v>0</v>
      </c>
      <c r="AP45" s="412">
        <f>VLOOKUP(AP6,'Dados - Composição PCFP'!$D$5:$AA$40,21,FALSE)</f>
        <v>0</v>
      </c>
      <c r="AQ45" s="412">
        <f>VLOOKUP(AQ6,'Dados - Composição PCFP'!$D$5:$AA$40,21,FALSE)</f>
        <v>0</v>
      </c>
      <c r="AR45" s="412">
        <f>VLOOKUP(AR6,'Dados - Composição PCFP'!$D$5:$AA$40,21,FALSE)</f>
        <v>0</v>
      </c>
      <c r="AS45" s="412">
        <f>VLOOKUP(AS6,'Dados - Composição PCFP'!$D$5:$AA$40,21,FALSE)</f>
        <v>0</v>
      </c>
      <c r="AT45" s="412">
        <f>VLOOKUP(AT6,'Dados - Composição PCFP'!$D$5:$AA$40,21,FALSE)</f>
        <v>0</v>
      </c>
    </row>
    <row r="46" spans="1:46" s="499" customFormat="1">
      <c r="A46" s="1030" t="s">
        <v>845</v>
      </c>
      <c r="B46" s="1031"/>
      <c r="C46" s="1031"/>
      <c r="D46" s="1031"/>
      <c r="E46" s="1031"/>
      <c r="F46" s="1031"/>
      <c r="G46" s="1031"/>
      <c r="H46" s="1031"/>
      <c r="I46" s="1031"/>
      <c r="J46" s="1032"/>
      <c r="K46" s="412">
        <f>VLOOKUP(K6,'Dados - Composição PCFP'!$D$5:$AA$40,23,FALSE)</f>
        <v>0</v>
      </c>
      <c r="L46" s="412">
        <f>VLOOKUP(L6,'Dados - Composição PCFP'!$D$5:$AA$40,23,FALSE)</f>
        <v>140.94659999999999</v>
      </c>
      <c r="M46" s="412">
        <f>VLOOKUP(M6,'Dados - Composição PCFP'!$D$5:$AA$40,23,FALSE)</f>
        <v>171.11339999999998</v>
      </c>
      <c r="N46" s="412">
        <f>VLOOKUP(N6,'Dados - Composição PCFP'!$D$5:$AA$40,23,FALSE)</f>
        <v>171.11339999999998</v>
      </c>
      <c r="O46" s="412">
        <f>VLOOKUP(O6,'Dados - Composição PCFP'!$D$5:$AA$40,23,FALSE)</f>
        <v>197.98739999999998</v>
      </c>
      <c r="P46" s="412">
        <f>VLOOKUP(P6,'Dados - Composição PCFP'!$D$5:$AA$40,23,FALSE)</f>
        <v>171.11339999999998</v>
      </c>
      <c r="Q46" s="412">
        <f>VLOOKUP(Q6,'Dados - Composição PCFP'!$D$5:$AA$40,23,FALSE)</f>
        <v>171.11339999999998</v>
      </c>
      <c r="R46" s="715">
        <f>VLOOKUP(R6,'Dados - Composição PCFP'!$D$5:$AA$40,23,FALSE)</f>
        <v>68.675399999999996</v>
      </c>
      <c r="S46" s="715">
        <f>VLOOKUP(S6,'Dados - Composição PCFP'!$D$5:$AA$40,23,FALSE)</f>
        <v>68.675399999999996</v>
      </c>
      <c r="T46" s="715">
        <f>VLOOKUP(T6,'Dados - Composição PCFP'!$D$5:$AA$40,23,FALSE)</f>
        <v>68.675399999999996</v>
      </c>
      <c r="U46" s="715">
        <f>VLOOKUP(U6,'Dados - Composição PCFP'!$D$5:$AA$40,23,FALSE)</f>
        <v>68.675399999999996</v>
      </c>
      <c r="V46" s="412">
        <f>VLOOKUP(V6,'Dados - Composição PCFP'!$D$5:$AA$40,23,FALSE)</f>
        <v>171.11339999999998</v>
      </c>
      <c r="W46" s="412">
        <f>VLOOKUP(W6,'Dados - Composição PCFP'!$D$5:$AA$40,23,FALSE)</f>
        <v>171.11339999999998</v>
      </c>
      <c r="X46" s="412">
        <f>VLOOKUP(X6,'Dados - Composição PCFP'!$D$5:$AA$40,23,FALSE)</f>
        <v>171.11339999999998</v>
      </c>
      <c r="Y46" s="412">
        <f>VLOOKUP(Y6,'Dados - Composição PCFP'!$D$5:$AA$40,23,FALSE)</f>
        <v>197.98739999999998</v>
      </c>
      <c r="Z46" s="412">
        <f>VLOOKUP(Z6,'Dados - Composição PCFP'!$D$5:$AA$40,23,FALSE)</f>
        <v>61.161000000000001</v>
      </c>
      <c r="AA46" s="412">
        <f>VLOOKUP(AA6,'Dados - Composição PCFP'!$D$5:$AA$40,23,FALSE)</f>
        <v>171.11339999999998</v>
      </c>
      <c r="AB46" s="412">
        <f>VLOOKUP(AB6,'Dados - Composição PCFP'!$D$5:$AA$40,23,FALSE)</f>
        <v>171.11339999999998</v>
      </c>
      <c r="AC46" s="412">
        <f>VLOOKUP(AC6,'Dados - Composição PCFP'!$D$5:$AA$40,23,FALSE)</f>
        <v>197.98739999999998</v>
      </c>
      <c r="AD46" s="412">
        <f>VLOOKUP(AD6,'Dados - Composição PCFP'!$D$5:$AA$40,23,FALSE)</f>
        <v>86.765400000000028</v>
      </c>
      <c r="AE46" s="412">
        <f>VLOOKUP(AE6,'Dados - Composição PCFP'!$D$5:$AA$40,23,FALSE)</f>
        <v>60.365399999999994</v>
      </c>
      <c r="AF46" s="412">
        <f>VLOOKUP(AF6,'Dados - Composição PCFP'!$D$5:$AA$40,23,FALSE)</f>
        <v>69.165400000000005</v>
      </c>
      <c r="AG46" s="412">
        <f>VLOOKUP(AG6,'Dados - Composição PCFP'!$D$5:$AA$40,23,FALSE)</f>
        <v>108.76540000000003</v>
      </c>
      <c r="AH46" s="412">
        <f>VLOOKUP(AH6,'Dados - Composição PCFP'!$D$5:$AA$40,23,FALSE)</f>
        <v>108.76540000000003</v>
      </c>
      <c r="AI46" s="412">
        <f>VLOOKUP(AI6,'Dados - Composição PCFP'!$D$5:$AA$40,23,FALSE)</f>
        <v>47.165400000000005</v>
      </c>
      <c r="AJ46" s="412">
        <f>VLOOKUP(AJ6,'Dados - Composição PCFP'!$D$5:$AA$40,23,FALSE)</f>
        <v>104.36539999999999</v>
      </c>
      <c r="AK46" s="412">
        <f>VLOOKUP(AK6,'Dados - Composição PCFP'!$D$5:$AA$40,23,FALSE)</f>
        <v>102.16540000000001</v>
      </c>
      <c r="AL46" s="412">
        <f>VLOOKUP(AL6,'Dados - Composição PCFP'!$D$5:$AA$40,23,FALSE)</f>
        <v>108.76540000000003</v>
      </c>
      <c r="AM46" s="412">
        <f>VLOOKUP(AM6,'Dados - Composição PCFP'!$D$5:$AA$40,23,FALSE)</f>
        <v>69.165400000000005</v>
      </c>
      <c r="AN46" s="412">
        <f>VLOOKUP(AN6,'Dados - Composição PCFP'!$D$5:$AA$40,23,FALSE)</f>
        <v>113.16540000000001</v>
      </c>
      <c r="AO46" s="412">
        <f>VLOOKUP(AO6,'Dados - Composição PCFP'!$D$5:$AA$40,23,FALSE)</f>
        <v>135.16540000000001</v>
      </c>
      <c r="AP46" s="412">
        <f>VLOOKUP(AP6,'Dados - Composição PCFP'!$D$5:$AA$40,23,FALSE)</f>
        <v>77.965400000000017</v>
      </c>
      <c r="AQ46" s="412">
        <f>VLOOKUP(AQ6,'Dados - Composição PCFP'!$D$5:$AA$40,23,FALSE)</f>
        <v>108.76540000000003</v>
      </c>
      <c r="AR46" s="412">
        <f>VLOOKUP(AR6,'Dados - Composição PCFP'!$D$5:$AA$40,23,FALSE)</f>
        <v>47.165400000000005</v>
      </c>
      <c r="AS46" s="412">
        <f>VLOOKUP(AS6,'Dados - Composição PCFP'!$D$5:$AA$40,23,FALSE)</f>
        <v>80.165400000000005</v>
      </c>
      <c r="AT46" s="412">
        <f>VLOOKUP(AT6,'Dados - Composição PCFP'!$D$5:$AA$40,23,FALSE)</f>
        <v>80.165400000000005</v>
      </c>
    </row>
    <row r="47" spans="1:46">
      <c r="A47" s="1030" t="s">
        <v>846</v>
      </c>
      <c r="B47" s="1031"/>
      <c r="C47" s="1031"/>
      <c r="D47" s="1031"/>
      <c r="E47" s="1031"/>
      <c r="F47" s="1031"/>
      <c r="G47" s="1031"/>
      <c r="H47" s="1031"/>
      <c r="I47" s="1031"/>
      <c r="J47" s="1032"/>
      <c r="K47" s="412">
        <f>VLOOKUP(K6,'Dados - Composição PCFP'!$D$5:$AA$40,24,FALSE)</f>
        <v>0</v>
      </c>
      <c r="L47" s="412">
        <f>VLOOKUP(L6,'Dados - Composição PCFP'!$D$5:$AA$40,24,FALSE)</f>
        <v>0</v>
      </c>
      <c r="M47" s="412">
        <f>VLOOKUP(M6,'Dados - Composição PCFP'!$D$5:$AA$40,24,FALSE)</f>
        <v>0</v>
      </c>
      <c r="N47" s="412">
        <f>VLOOKUP(N6,'Dados - Composição PCFP'!$D$5:$AA$40,24,FALSE)</f>
        <v>0</v>
      </c>
      <c r="O47" s="412">
        <f>VLOOKUP(O6,'Dados - Composição PCFP'!$D$5:$AA$40,24,FALSE)</f>
        <v>0</v>
      </c>
      <c r="P47" s="412">
        <f>VLOOKUP(P6,'Dados - Composição PCFP'!$D$5:$AA$40,24,FALSE)</f>
        <v>0</v>
      </c>
      <c r="Q47" s="412">
        <f>VLOOKUP(Q6,'Dados - Composição PCFP'!$D$5:$AA$40,24,FALSE)</f>
        <v>0</v>
      </c>
      <c r="R47" s="715">
        <f>VLOOKUP(R6,'Dados - Composição PCFP'!$D$5:$AA$40,24,FALSE)</f>
        <v>0</v>
      </c>
      <c r="S47" s="715">
        <f>VLOOKUP(S6,'Dados - Composição PCFP'!$D$5:$AA$40,24,FALSE)</f>
        <v>0</v>
      </c>
      <c r="T47" s="715">
        <f>VLOOKUP(T6,'Dados - Composição PCFP'!$D$5:$AA$40,24,FALSE)</f>
        <v>0</v>
      </c>
      <c r="U47" s="715">
        <f>VLOOKUP(U6,'Dados - Composição PCFP'!$D$5:$AA$40,24,FALSE)</f>
        <v>0</v>
      </c>
      <c r="V47" s="412">
        <f>VLOOKUP(V6,'Dados - Composição PCFP'!$D$5:$AA$40,24,FALSE)</f>
        <v>0</v>
      </c>
      <c r="W47" s="412">
        <f>VLOOKUP(W6,'Dados - Composição PCFP'!$D$5:$AA$40,24,FALSE)</f>
        <v>0</v>
      </c>
      <c r="X47" s="412">
        <f>VLOOKUP(X6,'Dados - Composição PCFP'!$D$5:$AA$40,24,FALSE)</f>
        <v>0</v>
      </c>
      <c r="Y47" s="412">
        <f>VLOOKUP(Y6,'Dados - Composição PCFP'!$D$5:$AA$40,24,FALSE)</f>
        <v>0</v>
      </c>
      <c r="Z47" s="412">
        <f>VLOOKUP(Z6,'Dados - Composição PCFP'!$D$5:$AA$40,24,FALSE)</f>
        <v>0</v>
      </c>
      <c r="AA47" s="412">
        <f>VLOOKUP(AA6,'Dados - Composição PCFP'!$D$5:$AA$40,24,FALSE)</f>
        <v>0</v>
      </c>
      <c r="AB47" s="412">
        <f>VLOOKUP(AB6,'Dados - Composição PCFP'!$D$5:$AA$40,24,FALSE)</f>
        <v>0</v>
      </c>
      <c r="AC47" s="412">
        <f>VLOOKUP(AC6,'Dados - Composição PCFP'!$D$5:$AA$40,24,FALSE)</f>
        <v>0</v>
      </c>
      <c r="AD47" s="412">
        <f>VLOOKUP(AD6,'Dados - Composição PCFP'!$D$5:$AA$40,24,FALSE)</f>
        <v>0</v>
      </c>
      <c r="AE47" s="412">
        <f>VLOOKUP(AE6,'Dados - Composição PCFP'!$D$5:$AA$40,24,FALSE)</f>
        <v>0</v>
      </c>
      <c r="AF47" s="412">
        <f>VLOOKUP(AF6,'Dados - Composição PCFP'!$D$5:$AA$40,24,FALSE)</f>
        <v>0</v>
      </c>
      <c r="AG47" s="412">
        <f>VLOOKUP(AG6,'Dados - Composição PCFP'!$D$5:$AA$40,24,FALSE)</f>
        <v>0</v>
      </c>
      <c r="AH47" s="412">
        <f>VLOOKUP(AH6,'Dados - Composição PCFP'!$D$5:$AA$40,24,FALSE)</f>
        <v>0</v>
      </c>
      <c r="AI47" s="412">
        <f>VLOOKUP(AI6,'Dados - Composição PCFP'!$D$5:$AA$40,24,FALSE)</f>
        <v>0</v>
      </c>
      <c r="AJ47" s="412">
        <f>VLOOKUP(AJ6,'Dados - Composição PCFP'!$D$5:$AA$40,24,FALSE)</f>
        <v>0</v>
      </c>
      <c r="AK47" s="412">
        <f>VLOOKUP(AK6,'Dados - Composição PCFP'!$D$5:$AA$40,24,FALSE)</f>
        <v>0</v>
      </c>
      <c r="AL47" s="412">
        <f>VLOOKUP(AL6,'Dados - Composição PCFP'!$D$5:$AA$40,24,FALSE)</f>
        <v>0</v>
      </c>
      <c r="AM47" s="412">
        <f>VLOOKUP(AM6,'Dados - Composição PCFP'!$D$5:$AA$40,24,FALSE)</f>
        <v>0</v>
      </c>
      <c r="AN47" s="412">
        <f>VLOOKUP(AN6,'Dados - Composição PCFP'!$D$5:$AA$40,24,FALSE)</f>
        <v>0</v>
      </c>
      <c r="AO47" s="412">
        <f>VLOOKUP(AO6,'Dados - Composição PCFP'!$D$5:$AA$40,24,FALSE)</f>
        <v>0</v>
      </c>
      <c r="AP47" s="412">
        <f>VLOOKUP(AP6,'Dados - Composição PCFP'!$D$5:$AA$40,24,FALSE)</f>
        <v>0</v>
      </c>
      <c r="AQ47" s="412">
        <f>VLOOKUP(AQ6,'Dados - Composição PCFP'!$D$5:$AA$40,24,FALSE)</f>
        <v>0</v>
      </c>
      <c r="AR47" s="412">
        <f>VLOOKUP(AR6,'Dados - Composição PCFP'!$D$5:$AA$40,24,FALSE)</f>
        <v>0</v>
      </c>
      <c r="AS47" s="412">
        <f>VLOOKUP(AS6,'Dados - Composição PCFP'!$D$5:$AA$40,24,FALSE)</f>
        <v>0</v>
      </c>
      <c r="AT47" s="412">
        <f>VLOOKUP(AT6,'Dados - Composição PCFP'!$D$5:$AA$40,24,FALSE)</f>
        <v>0</v>
      </c>
    </row>
    <row r="48" spans="1:46" s="413" customFormat="1">
      <c r="A48" s="918" t="s">
        <v>175</v>
      </c>
      <c r="B48" s="919"/>
      <c r="C48" s="919"/>
      <c r="D48" s="919"/>
      <c r="E48" s="919"/>
      <c r="F48" s="919"/>
      <c r="G48" s="919"/>
      <c r="H48" s="919"/>
      <c r="I48" s="919"/>
      <c r="J48" s="443"/>
      <c r="K48" s="420">
        <f t="shared" ref="K48" si="32">SUM(K37:K47)</f>
        <v>1072.655</v>
      </c>
      <c r="L48" s="420">
        <f t="shared" ref="L48" si="33">SUM(L37:L47)</f>
        <v>1014.4418000000001</v>
      </c>
      <c r="M48" s="420">
        <f t="shared" ref="M48" si="34">SUM(M37:M47)</f>
        <v>1044.6086</v>
      </c>
      <c r="N48" s="420">
        <f t="shared" ref="N48" si="35">SUM(N37:N47)</f>
        <v>1044.6086</v>
      </c>
      <c r="O48" s="420">
        <f t="shared" ref="O48" si="36">SUM(O37:O47)</f>
        <v>1071.4826</v>
      </c>
      <c r="P48" s="420">
        <f t="shared" ref="P48" si="37">SUM(P37:P47)</f>
        <v>1044.6086</v>
      </c>
      <c r="Q48" s="420">
        <f t="shared" ref="Q48" si="38">SUM(Q37:Q47)</f>
        <v>1044.6086</v>
      </c>
      <c r="R48" s="720">
        <f t="shared" ref="R48" si="39">SUM(R37:R47)</f>
        <v>831.29060000000004</v>
      </c>
      <c r="S48" s="720">
        <f t="shared" ref="S48" si="40">SUM(S37:S47)</f>
        <v>831.29060000000004</v>
      </c>
      <c r="T48" s="720">
        <f t="shared" ref="T48" si="41">SUM(T37:T47)</f>
        <v>831.29060000000004</v>
      </c>
      <c r="U48" s="720">
        <f t="shared" ref="U48" si="42">SUM(U37:U47)</f>
        <v>831.29060000000004</v>
      </c>
      <c r="V48" s="420">
        <f t="shared" ref="V48" si="43">SUM(V37:V47)</f>
        <v>1044.6086</v>
      </c>
      <c r="W48" s="420">
        <f t="shared" ref="W48" si="44">SUM(W37:W47)</f>
        <v>1044.6086</v>
      </c>
      <c r="X48" s="420">
        <f t="shared" ref="X48" si="45">SUM(X37:X47)</f>
        <v>1044.6086</v>
      </c>
      <c r="Y48" s="420">
        <f t="shared" ref="Y48" si="46">SUM(Y37:Y47)</f>
        <v>1071.4826</v>
      </c>
      <c r="Z48" s="420">
        <f t="shared" ref="Z48" si="47">SUM(Z37:Z47)</f>
        <v>826.40189999999984</v>
      </c>
      <c r="AA48" s="420">
        <f t="shared" ref="AA48" si="48">SUM(AA37:AA47)</f>
        <v>1044.6086</v>
      </c>
      <c r="AB48" s="420">
        <f t="shared" ref="AB48:AC48" si="49">SUM(AB37:AB47)</f>
        <v>1044.6086</v>
      </c>
      <c r="AC48" s="420">
        <f t="shared" si="49"/>
        <v>1071.4826</v>
      </c>
      <c r="AD48" s="420">
        <f t="shared" ref="AD48" si="50">SUM(AD37:AD47)</f>
        <v>960.26060000000007</v>
      </c>
      <c r="AE48" s="420">
        <f t="shared" ref="AE48" si="51">SUM(AE37:AE47)</f>
        <v>933.86060000000009</v>
      </c>
      <c r="AF48" s="420">
        <f t="shared" ref="AF48" si="52">SUM(AF37:AF47)</f>
        <v>942.66060000000004</v>
      </c>
      <c r="AG48" s="420">
        <f t="shared" ref="AG48" si="53">SUM(AG37:AG47)</f>
        <v>982.26060000000007</v>
      </c>
      <c r="AH48" s="420">
        <f t="shared" ref="AH48" si="54">SUM(AH37:AH47)</f>
        <v>982.26060000000007</v>
      </c>
      <c r="AI48" s="420">
        <f t="shared" ref="AI48" si="55">SUM(AI37:AI47)</f>
        <v>920.66060000000004</v>
      </c>
      <c r="AJ48" s="420">
        <f t="shared" ref="AJ48" si="56">SUM(AJ37:AJ47)</f>
        <v>977.86060000000009</v>
      </c>
      <c r="AK48" s="420">
        <f t="shared" ref="AK48" si="57">SUM(AK37:AK47)</f>
        <v>975.66060000000004</v>
      </c>
      <c r="AL48" s="420">
        <f t="shared" ref="AL48" si="58">SUM(AL37:AL47)</f>
        <v>982.26060000000007</v>
      </c>
      <c r="AM48" s="420">
        <f t="shared" ref="AM48" si="59">SUM(AM37:AM47)</f>
        <v>942.66060000000004</v>
      </c>
      <c r="AN48" s="420">
        <f t="shared" ref="AN48" si="60">SUM(AN37:AN47)</f>
        <v>986.66060000000004</v>
      </c>
      <c r="AO48" s="420">
        <f t="shared" ref="AO48" si="61">SUM(AO37:AO47)</f>
        <v>1008.6606</v>
      </c>
      <c r="AP48" s="420">
        <f t="shared" ref="AP48" si="62">SUM(AP37:AP47)</f>
        <v>951.46060000000011</v>
      </c>
      <c r="AQ48" s="420">
        <f t="shared" ref="AQ48" si="63">SUM(AQ37:AQ47)</f>
        <v>982.26060000000007</v>
      </c>
      <c r="AR48" s="420">
        <f t="shared" ref="AR48" si="64">SUM(AR37:AR47)</f>
        <v>920.66060000000004</v>
      </c>
      <c r="AS48" s="420">
        <f t="shared" ref="AS48" si="65">SUM(AS37:AS47)</f>
        <v>953.66060000000004</v>
      </c>
      <c r="AT48" s="420">
        <f t="shared" ref="AT48" si="66">SUM(AT37:AT47)</f>
        <v>953.66060000000004</v>
      </c>
    </row>
    <row r="49" spans="1:46" s="585" customFormat="1">
      <c r="AE49" s="785"/>
    </row>
    <row r="50" spans="1:46" s="413" customFormat="1">
      <c r="A50" s="929" t="s">
        <v>847</v>
      </c>
      <c r="B50" s="930"/>
      <c r="C50" s="930"/>
      <c r="D50" s="930"/>
      <c r="E50" s="930"/>
      <c r="F50" s="930"/>
      <c r="G50" s="930"/>
      <c r="H50" s="930"/>
      <c r="I50" s="930"/>
      <c r="J50" s="931"/>
      <c r="K50" s="902" t="s">
        <v>830</v>
      </c>
      <c r="L50" s="902" t="s">
        <v>830</v>
      </c>
      <c r="M50" s="902" t="s">
        <v>830</v>
      </c>
      <c r="N50" s="904" t="s">
        <v>830</v>
      </c>
      <c r="O50" s="904" t="s">
        <v>830</v>
      </c>
      <c r="P50" s="902" t="s">
        <v>830</v>
      </c>
      <c r="Q50" s="902" t="s">
        <v>830</v>
      </c>
      <c r="R50" s="909" t="s">
        <v>830</v>
      </c>
      <c r="S50" s="909" t="s">
        <v>830</v>
      </c>
      <c r="T50" s="909" t="s">
        <v>830</v>
      </c>
      <c r="U50" s="914" t="s">
        <v>830</v>
      </c>
      <c r="V50" s="875" t="s">
        <v>830</v>
      </c>
      <c r="W50" s="875" t="s">
        <v>830</v>
      </c>
      <c r="X50" s="875" t="s">
        <v>830</v>
      </c>
      <c r="Y50" s="875" t="s">
        <v>830</v>
      </c>
      <c r="Z50" s="875" t="s">
        <v>830</v>
      </c>
      <c r="AA50" s="875" t="s">
        <v>830</v>
      </c>
      <c r="AB50" s="875" t="s">
        <v>830</v>
      </c>
      <c r="AC50" s="875" t="s">
        <v>830</v>
      </c>
      <c r="AD50" s="875" t="s">
        <v>830</v>
      </c>
      <c r="AE50" s="916" t="s">
        <v>830</v>
      </c>
      <c r="AF50" s="902" t="s">
        <v>830</v>
      </c>
      <c r="AG50" s="904" t="s">
        <v>830</v>
      </c>
      <c r="AH50" s="904" t="s">
        <v>830</v>
      </c>
      <c r="AI50" s="902" t="s">
        <v>830</v>
      </c>
      <c r="AJ50" s="904" t="s">
        <v>830</v>
      </c>
      <c r="AK50" s="902" t="s">
        <v>830</v>
      </c>
      <c r="AL50" s="904" t="s">
        <v>830</v>
      </c>
      <c r="AM50" s="902" t="s">
        <v>830</v>
      </c>
      <c r="AN50" s="904" t="s">
        <v>830</v>
      </c>
      <c r="AO50" s="904" t="s">
        <v>830</v>
      </c>
      <c r="AP50" s="902" t="s">
        <v>830</v>
      </c>
      <c r="AQ50" s="904" t="s">
        <v>830</v>
      </c>
      <c r="AR50" s="902" t="s">
        <v>830</v>
      </c>
      <c r="AS50" s="902" t="s">
        <v>830</v>
      </c>
      <c r="AT50" s="904" t="s">
        <v>830</v>
      </c>
    </row>
    <row r="51" spans="1:46" s="413" customFormat="1">
      <c r="A51" s="911" t="s">
        <v>848</v>
      </c>
      <c r="B51" s="912"/>
      <c r="C51" s="912"/>
      <c r="D51" s="912"/>
      <c r="E51" s="912"/>
      <c r="F51" s="912"/>
      <c r="G51" s="912"/>
      <c r="H51" s="912"/>
      <c r="I51" s="912"/>
      <c r="J51" s="913"/>
      <c r="K51" s="903"/>
      <c r="L51" s="903"/>
      <c r="M51" s="903"/>
      <c r="N51" s="905"/>
      <c r="O51" s="905"/>
      <c r="P51" s="903"/>
      <c r="Q51" s="903"/>
      <c r="R51" s="910"/>
      <c r="S51" s="910"/>
      <c r="T51" s="910"/>
      <c r="U51" s="915"/>
      <c r="V51" s="876"/>
      <c r="W51" s="876"/>
      <c r="X51" s="876"/>
      <c r="Y51" s="876"/>
      <c r="Z51" s="876"/>
      <c r="AA51" s="876"/>
      <c r="AB51" s="876"/>
      <c r="AC51" s="876"/>
      <c r="AD51" s="876"/>
      <c r="AE51" s="917"/>
      <c r="AF51" s="903"/>
      <c r="AG51" s="905"/>
      <c r="AH51" s="905"/>
      <c r="AI51" s="903"/>
      <c r="AJ51" s="905"/>
      <c r="AK51" s="903"/>
      <c r="AL51" s="905"/>
      <c r="AM51" s="903"/>
      <c r="AN51" s="905"/>
      <c r="AO51" s="905"/>
      <c r="AP51" s="903"/>
      <c r="AQ51" s="905"/>
      <c r="AR51" s="903"/>
      <c r="AS51" s="903"/>
      <c r="AT51" s="905"/>
    </row>
    <row r="52" spans="1:46" s="413" customFormat="1">
      <c r="A52" s="911" t="s">
        <v>849</v>
      </c>
      <c r="B52" s="912"/>
      <c r="C52" s="912"/>
      <c r="D52" s="912"/>
      <c r="E52" s="912"/>
      <c r="F52" s="912"/>
      <c r="G52" s="912"/>
      <c r="H52" s="912"/>
      <c r="I52" s="912"/>
      <c r="J52" s="913"/>
      <c r="K52" s="444">
        <f t="shared" ref="K52:AT52" si="67">K20</f>
        <v>1548.91</v>
      </c>
      <c r="L52" s="444">
        <f t="shared" si="67"/>
        <v>435.75</v>
      </c>
      <c r="M52" s="444">
        <f t="shared" si="67"/>
        <v>363.12</v>
      </c>
      <c r="N52" s="408">
        <f t="shared" si="67"/>
        <v>363.12</v>
      </c>
      <c r="O52" s="408">
        <f t="shared" si="67"/>
        <v>298.43</v>
      </c>
      <c r="P52" s="444">
        <f t="shared" si="67"/>
        <v>363.12</v>
      </c>
      <c r="Q52" s="444">
        <f t="shared" si="67"/>
        <v>363.12</v>
      </c>
      <c r="R52" s="714">
        <f t="shared" si="67"/>
        <v>363.12</v>
      </c>
      <c r="S52" s="714">
        <f t="shared" si="67"/>
        <v>403.27</v>
      </c>
      <c r="T52" s="714">
        <f t="shared" si="67"/>
        <v>363.12</v>
      </c>
      <c r="U52" s="714">
        <f t="shared" si="67"/>
        <v>403.27</v>
      </c>
      <c r="V52" s="408">
        <f t="shared" si="67"/>
        <v>363.12</v>
      </c>
      <c r="W52" s="408">
        <f t="shared" si="67"/>
        <v>363.12</v>
      </c>
      <c r="X52" s="408">
        <f t="shared" si="67"/>
        <v>363.12</v>
      </c>
      <c r="Y52" s="408">
        <f t="shared" si="67"/>
        <v>298.43</v>
      </c>
      <c r="Z52" s="408">
        <f t="shared" si="67"/>
        <v>381.21000000000004</v>
      </c>
      <c r="AA52" s="408">
        <f t="shared" si="67"/>
        <v>363.12</v>
      </c>
      <c r="AB52" s="408">
        <f t="shared" si="67"/>
        <v>279.32</v>
      </c>
      <c r="AC52" s="408">
        <f t="shared" ref="AC52" si="68">AC20</f>
        <v>229.56</v>
      </c>
      <c r="AD52" s="408">
        <f t="shared" si="67"/>
        <v>363.12</v>
      </c>
      <c r="AE52" s="444">
        <f t="shared" si="67"/>
        <v>363.12</v>
      </c>
      <c r="AF52" s="444">
        <f t="shared" si="67"/>
        <v>363.12</v>
      </c>
      <c r="AG52" s="408">
        <f t="shared" si="67"/>
        <v>363.12</v>
      </c>
      <c r="AH52" s="408">
        <f t="shared" si="67"/>
        <v>363.12</v>
      </c>
      <c r="AI52" s="444">
        <f t="shared" si="67"/>
        <v>363.12</v>
      </c>
      <c r="AJ52" s="408">
        <f t="shared" si="67"/>
        <v>363.12</v>
      </c>
      <c r="AK52" s="444">
        <f t="shared" si="67"/>
        <v>363.12</v>
      </c>
      <c r="AL52" s="408">
        <f t="shared" si="67"/>
        <v>363.12</v>
      </c>
      <c r="AM52" s="444">
        <f t="shared" si="67"/>
        <v>363.12</v>
      </c>
      <c r="AN52" s="408">
        <f t="shared" si="67"/>
        <v>363.12</v>
      </c>
      <c r="AO52" s="408">
        <f t="shared" si="67"/>
        <v>363.12</v>
      </c>
      <c r="AP52" s="444">
        <f t="shared" si="67"/>
        <v>363.12</v>
      </c>
      <c r="AQ52" s="408">
        <f t="shared" si="67"/>
        <v>363.12</v>
      </c>
      <c r="AR52" s="444">
        <f t="shared" si="67"/>
        <v>363.12</v>
      </c>
      <c r="AS52" s="444">
        <f t="shared" si="67"/>
        <v>363.12</v>
      </c>
      <c r="AT52" s="408">
        <f t="shared" si="67"/>
        <v>363.12</v>
      </c>
    </row>
    <row r="53" spans="1:46" s="413" customFormat="1">
      <c r="A53" s="911" t="s">
        <v>155</v>
      </c>
      <c r="B53" s="912"/>
      <c r="C53" s="912"/>
      <c r="D53" s="912"/>
      <c r="E53" s="912"/>
      <c r="F53" s="912"/>
      <c r="G53" s="912"/>
      <c r="H53" s="912"/>
      <c r="I53" s="912"/>
      <c r="J53" s="913"/>
      <c r="K53" s="444">
        <f t="shared" ref="K53:AT53" si="69">K33</f>
        <v>5699.9900000000007</v>
      </c>
      <c r="L53" s="444">
        <f t="shared" si="69"/>
        <v>1603.5300000000002</v>
      </c>
      <c r="M53" s="444">
        <f t="shared" si="69"/>
        <v>1336.29</v>
      </c>
      <c r="N53" s="408">
        <f t="shared" si="69"/>
        <v>1336.29</v>
      </c>
      <c r="O53" s="408">
        <f t="shared" si="69"/>
        <v>1098.21</v>
      </c>
      <c r="P53" s="444">
        <f t="shared" si="69"/>
        <v>1336.29</v>
      </c>
      <c r="Q53" s="444">
        <f t="shared" si="69"/>
        <v>1336.29</v>
      </c>
      <c r="R53" s="714">
        <f t="shared" si="69"/>
        <v>1336.29</v>
      </c>
      <c r="S53" s="714">
        <f t="shared" si="69"/>
        <v>1484.02</v>
      </c>
      <c r="T53" s="714">
        <f t="shared" si="69"/>
        <v>1336.29</v>
      </c>
      <c r="U53" s="714">
        <f t="shared" si="69"/>
        <v>1484.02</v>
      </c>
      <c r="V53" s="408">
        <f t="shared" si="69"/>
        <v>1336.29</v>
      </c>
      <c r="W53" s="408">
        <f t="shared" si="69"/>
        <v>1336.29</v>
      </c>
      <c r="X53" s="408">
        <f t="shared" si="69"/>
        <v>1336.29</v>
      </c>
      <c r="Y53" s="408">
        <f t="shared" si="69"/>
        <v>1098.21</v>
      </c>
      <c r="Z53" s="408">
        <f t="shared" si="69"/>
        <v>1402.8399999999997</v>
      </c>
      <c r="AA53" s="408">
        <f t="shared" si="69"/>
        <v>1336.29</v>
      </c>
      <c r="AB53" s="408">
        <f t="shared" si="69"/>
        <v>1027.9199999999998</v>
      </c>
      <c r="AC53" s="408">
        <f t="shared" ref="AC53" si="70">AC33</f>
        <v>844.77</v>
      </c>
      <c r="AD53" s="408">
        <f t="shared" si="69"/>
        <v>1336.29</v>
      </c>
      <c r="AE53" s="444">
        <f t="shared" si="69"/>
        <v>1336.29</v>
      </c>
      <c r="AF53" s="444">
        <f t="shared" si="69"/>
        <v>1336.29</v>
      </c>
      <c r="AG53" s="408">
        <f t="shared" si="69"/>
        <v>1336.29</v>
      </c>
      <c r="AH53" s="408">
        <f t="shared" si="69"/>
        <v>1336.29</v>
      </c>
      <c r="AI53" s="444">
        <f t="shared" si="69"/>
        <v>1336.29</v>
      </c>
      <c r="AJ53" s="408">
        <f t="shared" si="69"/>
        <v>1336.29</v>
      </c>
      <c r="AK53" s="444">
        <f t="shared" si="69"/>
        <v>1336.29</v>
      </c>
      <c r="AL53" s="408">
        <f t="shared" si="69"/>
        <v>1336.29</v>
      </c>
      <c r="AM53" s="444">
        <f t="shared" si="69"/>
        <v>1336.29</v>
      </c>
      <c r="AN53" s="408">
        <f t="shared" si="69"/>
        <v>1336.29</v>
      </c>
      <c r="AO53" s="408">
        <f t="shared" si="69"/>
        <v>1336.29</v>
      </c>
      <c r="AP53" s="444">
        <f t="shared" si="69"/>
        <v>1336.29</v>
      </c>
      <c r="AQ53" s="408">
        <f t="shared" si="69"/>
        <v>1336.29</v>
      </c>
      <c r="AR53" s="444">
        <f t="shared" si="69"/>
        <v>1336.29</v>
      </c>
      <c r="AS53" s="444">
        <f t="shared" si="69"/>
        <v>1336.29</v>
      </c>
      <c r="AT53" s="408">
        <f t="shared" si="69"/>
        <v>1336.29</v>
      </c>
    </row>
    <row r="54" spans="1:46" s="413" customFormat="1">
      <c r="A54" s="911" t="s">
        <v>850</v>
      </c>
      <c r="B54" s="912"/>
      <c r="C54" s="912"/>
      <c r="D54" s="912"/>
      <c r="E54" s="912"/>
      <c r="F54" s="912"/>
      <c r="G54" s="912"/>
      <c r="H54" s="912"/>
      <c r="I54" s="912"/>
      <c r="J54" s="913"/>
      <c r="K54" s="444">
        <f t="shared" ref="K54:AR54" si="71">K48</f>
        <v>1072.655</v>
      </c>
      <c r="L54" s="444">
        <f t="shared" si="71"/>
        <v>1014.4418000000001</v>
      </c>
      <c r="M54" s="444">
        <f t="shared" si="71"/>
        <v>1044.6086</v>
      </c>
      <c r="N54" s="408">
        <f t="shared" si="71"/>
        <v>1044.6086</v>
      </c>
      <c r="O54" s="408">
        <f t="shared" si="71"/>
        <v>1071.4826</v>
      </c>
      <c r="P54" s="444">
        <f t="shared" si="71"/>
        <v>1044.6086</v>
      </c>
      <c r="Q54" s="444">
        <f t="shared" si="71"/>
        <v>1044.6086</v>
      </c>
      <c r="R54" s="714">
        <f t="shared" ref="R54:T54" si="72">R48</f>
        <v>831.29060000000004</v>
      </c>
      <c r="S54" s="714">
        <f t="shared" si="72"/>
        <v>831.29060000000004</v>
      </c>
      <c r="T54" s="714">
        <f t="shared" si="72"/>
        <v>831.29060000000004</v>
      </c>
      <c r="U54" s="714">
        <f t="shared" si="71"/>
        <v>831.29060000000004</v>
      </c>
      <c r="V54" s="408">
        <f t="shared" ref="V54:W54" si="73">V48</f>
        <v>1044.6086</v>
      </c>
      <c r="W54" s="408">
        <f t="shared" si="73"/>
        <v>1044.6086</v>
      </c>
      <c r="X54" s="408">
        <f t="shared" ref="X54:Y54" si="74">X48</f>
        <v>1044.6086</v>
      </c>
      <c r="Y54" s="408">
        <f t="shared" si="74"/>
        <v>1071.4826</v>
      </c>
      <c r="Z54" s="408">
        <f t="shared" ref="Z54:AA54" si="75">Z48</f>
        <v>826.40189999999984</v>
      </c>
      <c r="AA54" s="408">
        <f t="shared" si="75"/>
        <v>1044.6086</v>
      </c>
      <c r="AB54" s="408">
        <f t="shared" ref="AB54:AD54" si="76">AB48</f>
        <v>1044.6086</v>
      </c>
      <c r="AC54" s="408">
        <f t="shared" si="76"/>
        <v>1071.4826</v>
      </c>
      <c r="AD54" s="408">
        <f t="shared" si="76"/>
        <v>960.26060000000007</v>
      </c>
      <c r="AE54" s="444">
        <f t="shared" si="71"/>
        <v>933.86060000000009</v>
      </c>
      <c r="AF54" s="444">
        <f t="shared" si="71"/>
        <v>942.66060000000004</v>
      </c>
      <c r="AG54" s="408">
        <f t="shared" si="71"/>
        <v>982.26060000000007</v>
      </c>
      <c r="AH54" s="408">
        <f t="shared" si="71"/>
        <v>982.26060000000007</v>
      </c>
      <c r="AI54" s="444">
        <f t="shared" si="71"/>
        <v>920.66060000000004</v>
      </c>
      <c r="AJ54" s="408">
        <f t="shared" si="71"/>
        <v>977.86060000000009</v>
      </c>
      <c r="AK54" s="444">
        <f t="shared" si="71"/>
        <v>975.66060000000004</v>
      </c>
      <c r="AL54" s="408">
        <f t="shared" si="71"/>
        <v>982.26060000000007</v>
      </c>
      <c r="AM54" s="444">
        <f t="shared" si="71"/>
        <v>942.66060000000004</v>
      </c>
      <c r="AN54" s="408">
        <f t="shared" si="71"/>
        <v>986.66060000000004</v>
      </c>
      <c r="AO54" s="408">
        <f t="shared" ref="AO54" si="77">AO48</f>
        <v>1008.6606</v>
      </c>
      <c r="AP54" s="444">
        <f t="shared" si="71"/>
        <v>951.46060000000011</v>
      </c>
      <c r="AQ54" s="408">
        <f t="shared" ref="AQ54" si="78">AQ48</f>
        <v>982.26060000000007</v>
      </c>
      <c r="AR54" s="444">
        <f t="shared" si="71"/>
        <v>920.66060000000004</v>
      </c>
      <c r="AS54" s="444">
        <f>AS48</f>
        <v>953.66060000000004</v>
      </c>
      <c r="AT54" s="408">
        <f>AT48</f>
        <v>953.66060000000004</v>
      </c>
    </row>
    <row r="55" spans="1:46" s="413" customFormat="1">
      <c r="A55" s="979" t="s">
        <v>175</v>
      </c>
      <c r="B55" s="980"/>
      <c r="C55" s="980"/>
      <c r="D55" s="980"/>
      <c r="E55" s="980"/>
      <c r="F55" s="980"/>
      <c r="G55" s="980"/>
      <c r="H55" s="980"/>
      <c r="I55" s="980"/>
      <c r="J55" s="445"/>
      <c r="K55" s="420">
        <f t="shared" ref="K55:AR55" si="79">SUM(K52:K54)</f>
        <v>8321.5550000000003</v>
      </c>
      <c r="L55" s="420">
        <f t="shared" si="79"/>
        <v>3053.7218000000003</v>
      </c>
      <c r="M55" s="420">
        <f t="shared" si="79"/>
        <v>2744.0185999999999</v>
      </c>
      <c r="N55" s="412">
        <f t="shared" si="79"/>
        <v>2744.0185999999999</v>
      </c>
      <c r="O55" s="412">
        <f t="shared" si="79"/>
        <v>2468.1226000000001</v>
      </c>
      <c r="P55" s="420">
        <f t="shared" si="79"/>
        <v>2744.0185999999999</v>
      </c>
      <c r="Q55" s="420">
        <f t="shared" si="79"/>
        <v>2744.0185999999999</v>
      </c>
      <c r="R55" s="715">
        <f t="shared" ref="R55:T55" si="80">SUM(R52:R54)</f>
        <v>2530.7006000000001</v>
      </c>
      <c r="S55" s="715">
        <f t="shared" si="80"/>
        <v>2718.5806000000002</v>
      </c>
      <c r="T55" s="715">
        <f t="shared" si="80"/>
        <v>2530.7006000000001</v>
      </c>
      <c r="U55" s="715">
        <f t="shared" si="79"/>
        <v>2718.5806000000002</v>
      </c>
      <c r="V55" s="412">
        <f t="shared" ref="V55:W55" si="81">SUM(V52:V54)</f>
        <v>2744.0185999999999</v>
      </c>
      <c r="W55" s="412">
        <f t="shared" si="81"/>
        <v>2744.0185999999999</v>
      </c>
      <c r="X55" s="412">
        <f t="shared" ref="X55:Y55" si="82">SUM(X52:X54)</f>
        <v>2744.0185999999999</v>
      </c>
      <c r="Y55" s="412">
        <f t="shared" si="82"/>
        <v>2468.1226000000001</v>
      </c>
      <c r="Z55" s="412">
        <f t="shared" ref="Z55:AA55" si="83">SUM(Z52:Z54)</f>
        <v>2610.4518999999996</v>
      </c>
      <c r="AA55" s="412">
        <f t="shared" si="83"/>
        <v>2744.0185999999999</v>
      </c>
      <c r="AB55" s="412">
        <f t="shared" ref="AB55:AD55" si="84">SUM(AB52:AB54)</f>
        <v>2351.8485999999998</v>
      </c>
      <c r="AC55" s="412">
        <f t="shared" si="84"/>
        <v>2145.8126000000002</v>
      </c>
      <c r="AD55" s="412">
        <f t="shared" si="84"/>
        <v>2659.6705999999999</v>
      </c>
      <c r="AE55" s="420">
        <f t="shared" si="79"/>
        <v>2633.2705999999998</v>
      </c>
      <c r="AF55" s="420">
        <f t="shared" si="79"/>
        <v>2642.0706</v>
      </c>
      <c r="AG55" s="412">
        <f t="shared" si="79"/>
        <v>2681.6705999999999</v>
      </c>
      <c r="AH55" s="412">
        <f t="shared" si="79"/>
        <v>2681.6705999999999</v>
      </c>
      <c r="AI55" s="420">
        <f t="shared" si="79"/>
        <v>2620.0706</v>
      </c>
      <c r="AJ55" s="412">
        <f t="shared" si="79"/>
        <v>2677.2705999999998</v>
      </c>
      <c r="AK55" s="420">
        <f t="shared" si="79"/>
        <v>2675.0706</v>
      </c>
      <c r="AL55" s="412">
        <f t="shared" si="79"/>
        <v>2681.6705999999999</v>
      </c>
      <c r="AM55" s="420">
        <f t="shared" si="79"/>
        <v>2642.0706</v>
      </c>
      <c r="AN55" s="412">
        <f t="shared" si="79"/>
        <v>2686.0706</v>
      </c>
      <c r="AO55" s="412">
        <f t="shared" ref="AO55" si="85">SUM(AO52:AO54)</f>
        <v>2708.0706</v>
      </c>
      <c r="AP55" s="420">
        <f t="shared" si="79"/>
        <v>2650.8706000000002</v>
      </c>
      <c r="AQ55" s="412">
        <f t="shared" ref="AQ55" si="86">SUM(AQ52:AQ54)</f>
        <v>2681.6705999999999</v>
      </c>
      <c r="AR55" s="420">
        <f t="shared" si="79"/>
        <v>2620.0706</v>
      </c>
      <c r="AS55" s="420">
        <f>SUM(AS52:AS54)</f>
        <v>2653.0706</v>
      </c>
      <c r="AT55" s="412">
        <f>SUM(AT52:AT54)</f>
        <v>2653.0706</v>
      </c>
    </row>
    <row r="56" spans="1:46" s="413" customFormat="1" ht="58.5" customHeight="1">
      <c r="A56" s="446"/>
      <c r="B56" s="447"/>
      <c r="C56" s="447"/>
      <c r="D56" s="447"/>
      <c r="E56" s="447"/>
      <c r="F56" s="447"/>
      <c r="G56" s="447"/>
      <c r="H56" s="447"/>
      <c r="I56" s="447"/>
      <c r="J56" s="448"/>
      <c r="K56" s="449"/>
      <c r="L56" s="449"/>
      <c r="M56" s="449"/>
      <c r="N56" s="450"/>
      <c r="O56" s="450"/>
      <c r="P56" s="449"/>
      <c r="Q56" s="449"/>
      <c r="R56" s="713"/>
      <c r="S56" s="713"/>
      <c r="T56" s="713"/>
      <c r="U56" s="713"/>
      <c r="V56" s="450"/>
      <c r="W56" s="450"/>
      <c r="X56" s="450"/>
      <c r="Y56" s="450"/>
      <c r="Z56" s="450"/>
      <c r="AA56" s="450"/>
      <c r="AB56" s="450"/>
      <c r="AC56" s="450"/>
      <c r="AD56" s="450"/>
      <c r="AE56" s="449"/>
      <c r="AF56" s="449"/>
      <c r="AG56" s="450"/>
      <c r="AH56" s="450"/>
      <c r="AI56" s="449"/>
      <c r="AJ56" s="450"/>
      <c r="AK56" s="449"/>
      <c r="AL56" s="450"/>
      <c r="AM56" s="449"/>
      <c r="AN56" s="450"/>
      <c r="AO56" s="450"/>
      <c r="AP56" s="449"/>
      <c r="AQ56" s="450"/>
      <c r="AR56" s="449"/>
      <c r="AS56" s="449"/>
      <c r="AT56" s="450"/>
    </row>
    <row r="57" spans="1:46" s="413" customFormat="1">
      <c r="A57" s="1021" t="s">
        <v>212</v>
      </c>
      <c r="B57" s="1022"/>
      <c r="C57" s="1022"/>
      <c r="D57" s="1022"/>
      <c r="E57" s="1022"/>
      <c r="F57" s="1022"/>
      <c r="G57" s="1022"/>
      <c r="H57" s="1022"/>
      <c r="I57" s="1023"/>
      <c r="J57" s="451" t="s">
        <v>851</v>
      </c>
      <c r="K57" s="404" t="s">
        <v>830</v>
      </c>
      <c r="L57" s="404" t="s">
        <v>830</v>
      </c>
      <c r="M57" s="404" t="s">
        <v>830</v>
      </c>
      <c r="N57" s="552" t="s">
        <v>830</v>
      </c>
      <c r="O57" s="552" t="s">
        <v>830</v>
      </c>
      <c r="P57" s="444" t="s">
        <v>830</v>
      </c>
      <c r="Q57" s="444" t="s">
        <v>830</v>
      </c>
      <c r="R57" s="714" t="s">
        <v>830</v>
      </c>
      <c r="S57" s="714" t="s">
        <v>830</v>
      </c>
      <c r="T57" s="714" t="s">
        <v>830</v>
      </c>
      <c r="U57" s="714" t="s">
        <v>830</v>
      </c>
      <c r="V57" s="408" t="s">
        <v>830</v>
      </c>
      <c r="W57" s="408" t="s">
        <v>830</v>
      </c>
      <c r="X57" s="408" t="s">
        <v>830</v>
      </c>
      <c r="Y57" s="408" t="s">
        <v>830</v>
      </c>
      <c r="Z57" s="408" t="s">
        <v>830</v>
      </c>
      <c r="AA57" s="408" t="s">
        <v>830</v>
      </c>
      <c r="AB57" s="408" t="s">
        <v>830</v>
      </c>
      <c r="AC57" s="408" t="s">
        <v>830</v>
      </c>
      <c r="AD57" s="408" t="s">
        <v>830</v>
      </c>
      <c r="AE57" s="444" t="s">
        <v>830</v>
      </c>
      <c r="AF57" s="444" t="s">
        <v>830</v>
      </c>
      <c r="AG57" s="408" t="s">
        <v>830</v>
      </c>
      <c r="AH57" s="408" t="s">
        <v>830</v>
      </c>
      <c r="AI57" s="444" t="s">
        <v>830</v>
      </c>
      <c r="AJ57" s="408" t="s">
        <v>830</v>
      </c>
      <c r="AK57" s="444" t="s">
        <v>830</v>
      </c>
      <c r="AL57" s="408" t="s">
        <v>830</v>
      </c>
      <c r="AM57" s="444" t="s">
        <v>830</v>
      </c>
      <c r="AN57" s="408" t="s">
        <v>830</v>
      </c>
      <c r="AO57" s="408" t="s">
        <v>830</v>
      </c>
      <c r="AP57" s="444" t="s">
        <v>830</v>
      </c>
      <c r="AQ57" s="408" t="s">
        <v>830</v>
      </c>
      <c r="AR57" s="444" t="s">
        <v>830</v>
      </c>
      <c r="AS57" s="444" t="s">
        <v>830</v>
      </c>
      <c r="AT57" s="408" t="s">
        <v>830</v>
      </c>
    </row>
    <row r="58" spans="1:46" s="413" customFormat="1" ht="14.25" customHeight="1">
      <c r="A58" s="452" t="s">
        <v>157</v>
      </c>
      <c r="B58" s="453" t="s">
        <v>852</v>
      </c>
      <c r="C58" s="454"/>
      <c r="D58" s="454"/>
      <c r="E58" s="454"/>
      <c r="F58" s="454"/>
      <c r="G58" s="454"/>
      <c r="H58" s="454"/>
      <c r="I58" s="455"/>
      <c r="J58" s="456"/>
      <c r="K58" s="407">
        <f t="shared" ref="K58:AT58" si="87">((K14+K14/12+K14/12+K14/36)/12)</f>
        <v>1387.5652083333332</v>
      </c>
      <c r="L58" s="407">
        <f t="shared" si="87"/>
        <v>390.35439814814816</v>
      </c>
      <c r="M58" s="407">
        <f t="shared" si="87"/>
        <v>325.29500000000002</v>
      </c>
      <c r="N58" s="408">
        <f t="shared" si="87"/>
        <v>325.29500000000002</v>
      </c>
      <c r="O58" s="408">
        <f t="shared" si="87"/>
        <v>267.33756944444451</v>
      </c>
      <c r="P58" s="407">
        <f t="shared" si="87"/>
        <v>325.29500000000002</v>
      </c>
      <c r="Q58" s="407">
        <f t="shared" si="87"/>
        <v>325.29500000000002</v>
      </c>
      <c r="R58" s="714">
        <f t="shared" si="87"/>
        <v>325.29500000000002</v>
      </c>
      <c r="S58" s="714">
        <f t="shared" si="87"/>
        <v>361.25488363636367</v>
      </c>
      <c r="T58" s="714">
        <f t="shared" si="87"/>
        <v>325.29500000000002</v>
      </c>
      <c r="U58" s="714">
        <f t="shared" si="87"/>
        <v>361.25488363636367</v>
      </c>
      <c r="V58" s="408">
        <f t="shared" si="87"/>
        <v>325.29500000000002</v>
      </c>
      <c r="W58" s="408">
        <f t="shared" si="87"/>
        <v>325.29500000000002</v>
      </c>
      <c r="X58" s="408">
        <f t="shared" si="87"/>
        <v>325.29500000000002</v>
      </c>
      <c r="Y58" s="408">
        <f t="shared" si="87"/>
        <v>267.33756944444451</v>
      </c>
      <c r="Z58" s="408">
        <f t="shared" si="87"/>
        <v>341.50162037037035</v>
      </c>
      <c r="AA58" s="408">
        <f t="shared" si="87"/>
        <v>325.29500000000002</v>
      </c>
      <c r="AB58" s="408">
        <f t="shared" si="87"/>
        <v>250.22715277777775</v>
      </c>
      <c r="AC58" s="408">
        <f t="shared" ref="AC58" si="88">((AC14+AC14/12+AC14/12+AC14/36)/12)</f>
        <v>205.64451388888892</v>
      </c>
      <c r="AD58" s="408">
        <f t="shared" si="87"/>
        <v>325.29500000000002</v>
      </c>
      <c r="AE58" s="407">
        <f t="shared" si="87"/>
        <v>325.29500000000002</v>
      </c>
      <c r="AF58" s="407">
        <f t="shared" si="87"/>
        <v>325.29500000000002</v>
      </c>
      <c r="AG58" s="408">
        <f t="shared" si="87"/>
        <v>325.29500000000002</v>
      </c>
      <c r="AH58" s="408">
        <f t="shared" si="87"/>
        <v>325.29500000000002</v>
      </c>
      <c r="AI58" s="407">
        <f t="shared" si="87"/>
        <v>325.29500000000002</v>
      </c>
      <c r="AJ58" s="408">
        <f t="shared" si="87"/>
        <v>325.29500000000002</v>
      </c>
      <c r="AK58" s="407">
        <f t="shared" si="87"/>
        <v>325.29500000000002</v>
      </c>
      <c r="AL58" s="408">
        <f t="shared" si="87"/>
        <v>325.29500000000002</v>
      </c>
      <c r="AM58" s="407">
        <f t="shared" si="87"/>
        <v>325.29500000000002</v>
      </c>
      <c r="AN58" s="408">
        <f t="shared" si="87"/>
        <v>325.29500000000002</v>
      </c>
      <c r="AO58" s="408">
        <f t="shared" si="87"/>
        <v>325.29500000000002</v>
      </c>
      <c r="AP58" s="407">
        <f t="shared" si="87"/>
        <v>325.29500000000002</v>
      </c>
      <c r="AQ58" s="408">
        <f t="shared" si="87"/>
        <v>325.29500000000002</v>
      </c>
      <c r="AR58" s="407">
        <f t="shared" si="87"/>
        <v>325.29500000000002</v>
      </c>
      <c r="AS58" s="407">
        <f t="shared" si="87"/>
        <v>325.29500000000002</v>
      </c>
      <c r="AT58" s="408">
        <f t="shared" si="87"/>
        <v>325.29500000000002</v>
      </c>
    </row>
    <row r="59" spans="1:46" s="413" customFormat="1" ht="14.25" customHeight="1">
      <c r="A59" s="457" t="s">
        <v>159</v>
      </c>
      <c r="B59" s="458" t="s">
        <v>853</v>
      </c>
      <c r="C59" s="454"/>
      <c r="D59" s="454"/>
      <c r="E59" s="454"/>
      <c r="F59" s="454"/>
      <c r="G59" s="454"/>
      <c r="H59" s="454"/>
      <c r="I59" s="459">
        <f>J32</f>
        <v>0.08</v>
      </c>
      <c r="J59" s="456"/>
      <c r="K59" s="407">
        <f t="shared" ref="K59:AR59" si="89">K58*$I59</f>
        <v>111.00521666666666</v>
      </c>
      <c r="L59" s="407">
        <f t="shared" si="89"/>
        <v>31.228351851851855</v>
      </c>
      <c r="M59" s="407">
        <f t="shared" si="89"/>
        <v>26.023600000000002</v>
      </c>
      <c r="N59" s="408">
        <f t="shared" si="89"/>
        <v>26.023600000000002</v>
      </c>
      <c r="O59" s="408">
        <f t="shared" si="89"/>
        <v>21.387005555555561</v>
      </c>
      <c r="P59" s="407">
        <f t="shared" si="89"/>
        <v>26.023600000000002</v>
      </c>
      <c r="Q59" s="407">
        <f t="shared" si="89"/>
        <v>26.023600000000002</v>
      </c>
      <c r="R59" s="714">
        <f t="shared" ref="R59:T59" si="90">R58*$I59</f>
        <v>26.023600000000002</v>
      </c>
      <c r="S59" s="714">
        <f t="shared" si="90"/>
        <v>28.900390690909095</v>
      </c>
      <c r="T59" s="714">
        <f t="shared" si="90"/>
        <v>26.023600000000002</v>
      </c>
      <c r="U59" s="714">
        <f t="shared" si="89"/>
        <v>28.900390690909095</v>
      </c>
      <c r="V59" s="408">
        <f t="shared" ref="V59:W59" si="91">V58*$I59</f>
        <v>26.023600000000002</v>
      </c>
      <c r="W59" s="408">
        <f t="shared" si="91"/>
        <v>26.023600000000002</v>
      </c>
      <c r="X59" s="408">
        <f t="shared" ref="X59:Y59" si="92">X58*$I59</f>
        <v>26.023600000000002</v>
      </c>
      <c r="Y59" s="408">
        <f t="shared" si="92"/>
        <v>21.387005555555561</v>
      </c>
      <c r="Z59" s="408">
        <f t="shared" ref="Z59:AA59" si="93">Z58*$I59</f>
        <v>27.32012962962963</v>
      </c>
      <c r="AA59" s="408">
        <f t="shared" si="93"/>
        <v>26.023600000000002</v>
      </c>
      <c r="AB59" s="408">
        <f t="shared" ref="AB59:AD59" si="94">AB58*$I59</f>
        <v>20.018172222222219</v>
      </c>
      <c r="AC59" s="408">
        <f t="shared" si="94"/>
        <v>16.451561111111115</v>
      </c>
      <c r="AD59" s="408">
        <f t="shared" si="94"/>
        <v>26.023600000000002</v>
      </c>
      <c r="AE59" s="407">
        <f t="shared" si="89"/>
        <v>26.023600000000002</v>
      </c>
      <c r="AF59" s="407">
        <f t="shared" si="89"/>
        <v>26.023600000000002</v>
      </c>
      <c r="AG59" s="408">
        <f t="shared" si="89"/>
        <v>26.023600000000002</v>
      </c>
      <c r="AH59" s="408">
        <f t="shared" si="89"/>
        <v>26.023600000000002</v>
      </c>
      <c r="AI59" s="407">
        <f t="shared" si="89"/>
        <v>26.023600000000002</v>
      </c>
      <c r="AJ59" s="408">
        <f t="shared" si="89"/>
        <v>26.023600000000002</v>
      </c>
      <c r="AK59" s="407">
        <f t="shared" si="89"/>
        <v>26.023600000000002</v>
      </c>
      <c r="AL59" s="408">
        <f t="shared" si="89"/>
        <v>26.023600000000002</v>
      </c>
      <c r="AM59" s="407">
        <f t="shared" si="89"/>
        <v>26.023600000000002</v>
      </c>
      <c r="AN59" s="408">
        <f t="shared" si="89"/>
        <v>26.023600000000002</v>
      </c>
      <c r="AO59" s="408">
        <f t="shared" ref="AO59" si="95">AO58*$I59</f>
        <v>26.023600000000002</v>
      </c>
      <c r="AP59" s="407">
        <f t="shared" si="89"/>
        <v>26.023600000000002</v>
      </c>
      <c r="AQ59" s="408">
        <f t="shared" ref="AQ59" si="96">AQ58*$I59</f>
        <v>26.023600000000002</v>
      </c>
      <c r="AR59" s="407">
        <f t="shared" si="89"/>
        <v>26.023600000000002</v>
      </c>
      <c r="AS59" s="407">
        <f>AS58*$I59</f>
        <v>26.023600000000002</v>
      </c>
      <c r="AT59" s="408">
        <f>AT58*$I59</f>
        <v>26.023600000000002</v>
      </c>
    </row>
    <row r="60" spans="1:46" s="413" customFormat="1" ht="14.25" customHeight="1">
      <c r="A60" s="457" t="s">
        <v>161</v>
      </c>
      <c r="B60" s="967" t="s">
        <v>854</v>
      </c>
      <c r="C60" s="968"/>
      <c r="D60" s="968"/>
      <c r="E60" s="968"/>
      <c r="F60" s="968"/>
      <c r="G60" s="968"/>
      <c r="H60" s="968"/>
      <c r="I60" s="459">
        <v>0.4</v>
      </c>
      <c r="J60" s="456"/>
      <c r="K60" s="407">
        <f>$I60*(K59)</f>
        <v>44.402086666666662</v>
      </c>
      <c r="L60" s="407">
        <f t="shared" ref="L60:AR60" si="97">$I60*(L59)</f>
        <v>12.491340740740743</v>
      </c>
      <c r="M60" s="407">
        <f t="shared" si="97"/>
        <v>10.409440000000002</v>
      </c>
      <c r="N60" s="408">
        <f t="shared" si="97"/>
        <v>10.409440000000002</v>
      </c>
      <c r="O60" s="408">
        <f t="shared" si="97"/>
        <v>8.5548022222222251</v>
      </c>
      <c r="P60" s="407">
        <f t="shared" si="97"/>
        <v>10.409440000000002</v>
      </c>
      <c r="Q60" s="407">
        <f t="shared" si="97"/>
        <v>10.409440000000002</v>
      </c>
      <c r="R60" s="714">
        <f t="shared" ref="R60:T60" si="98">$I60*(R59)</f>
        <v>10.409440000000002</v>
      </c>
      <c r="S60" s="714">
        <f t="shared" si="98"/>
        <v>11.560156276363639</v>
      </c>
      <c r="T60" s="714">
        <f t="shared" si="98"/>
        <v>10.409440000000002</v>
      </c>
      <c r="U60" s="714">
        <f t="shared" si="97"/>
        <v>11.560156276363639</v>
      </c>
      <c r="V60" s="408">
        <f t="shared" ref="V60:W60" si="99">$I60*(V59)</f>
        <v>10.409440000000002</v>
      </c>
      <c r="W60" s="408">
        <f t="shared" si="99"/>
        <v>10.409440000000002</v>
      </c>
      <c r="X60" s="408">
        <f t="shared" ref="X60:Y60" si="100">$I60*(X59)</f>
        <v>10.409440000000002</v>
      </c>
      <c r="Y60" s="408">
        <f t="shared" si="100"/>
        <v>8.5548022222222251</v>
      </c>
      <c r="Z60" s="408">
        <f t="shared" ref="Z60:AA60" si="101">$I60*(Z59)</f>
        <v>10.928051851851853</v>
      </c>
      <c r="AA60" s="408">
        <f t="shared" si="101"/>
        <v>10.409440000000002</v>
      </c>
      <c r="AB60" s="408">
        <f t="shared" ref="AB60:AD60" si="102">$I60*(AB59)</f>
        <v>8.0072688888888877</v>
      </c>
      <c r="AC60" s="408">
        <f t="shared" si="102"/>
        <v>6.5806244444444459</v>
      </c>
      <c r="AD60" s="408">
        <f t="shared" si="102"/>
        <v>10.409440000000002</v>
      </c>
      <c r="AE60" s="407">
        <f t="shared" si="97"/>
        <v>10.409440000000002</v>
      </c>
      <c r="AF60" s="407">
        <f t="shared" si="97"/>
        <v>10.409440000000002</v>
      </c>
      <c r="AG60" s="408">
        <f t="shared" si="97"/>
        <v>10.409440000000002</v>
      </c>
      <c r="AH60" s="408">
        <f t="shared" si="97"/>
        <v>10.409440000000002</v>
      </c>
      <c r="AI60" s="407">
        <f t="shared" si="97"/>
        <v>10.409440000000002</v>
      </c>
      <c r="AJ60" s="408">
        <f t="shared" si="97"/>
        <v>10.409440000000002</v>
      </c>
      <c r="AK60" s="407">
        <f t="shared" si="97"/>
        <v>10.409440000000002</v>
      </c>
      <c r="AL60" s="408">
        <f t="shared" si="97"/>
        <v>10.409440000000002</v>
      </c>
      <c r="AM60" s="407">
        <f t="shared" si="97"/>
        <v>10.409440000000002</v>
      </c>
      <c r="AN60" s="408">
        <f t="shared" si="97"/>
        <v>10.409440000000002</v>
      </c>
      <c r="AO60" s="408">
        <f t="shared" ref="AO60" si="103">$I60*(AO59)</f>
        <v>10.409440000000002</v>
      </c>
      <c r="AP60" s="407">
        <f t="shared" si="97"/>
        <v>10.409440000000002</v>
      </c>
      <c r="AQ60" s="408">
        <f t="shared" ref="AQ60" si="104">$I60*(AQ59)</f>
        <v>10.409440000000002</v>
      </c>
      <c r="AR60" s="407">
        <f t="shared" si="97"/>
        <v>10.409440000000002</v>
      </c>
      <c r="AS60" s="407">
        <f>$I60*(AS59)</f>
        <v>10.409440000000002</v>
      </c>
      <c r="AT60" s="408">
        <f>$I60*(AT59)</f>
        <v>10.409440000000002</v>
      </c>
    </row>
    <row r="61" spans="1:46" s="413" customFormat="1" ht="27" customHeight="1">
      <c r="A61" s="452" t="s">
        <v>165</v>
      </c>
      <c r="B61" s="1024" t="s">
        <v>855</v>
      </c>
      <c r="C61" s="1025"/>
      <c r="D61" s="1025"/>
      <c r="E61" s="1025"/>
      <c r="F61" s="1025"/>
      <c r="G61" s="1025"/>
      <c r="H61" s="1025"/>
      <c r="I61" s="538" t="s">
        <v>856</v>
      </c>
      <c r="J61" s="647">
        <f>'Dados - Composição PCFP'!$F$100</f>
        <v>0.05</v>
      </c>
      <c r="K61" s="420">
        <f t="shared" ref="K61:AR61" si="105">ROUND(SUM(K58:K60)*$J61,2)</f>
        <v>77.150000000000006</v>
      </c>
      <c r="L61" s="420">
        <f t="shared" si="105"/>
        <v>21.7</v>
      </c>
      <c r="M61" s="420">
        <f t="shared" si="105"/>
        <v>18.09</v>
      </c>
      <c r="N61" s="412">
        <f t="shared" si="105"/>
        <v>18.09</v>
      </c>
      <c r="O61" s="412">
        <f t="shared" si="105"/>
        <v>14.86</v>
      </c>
      <c r="P61" s="420">
        <f t="shared" si="105"/>
        <v>18.09</v>
      </c>
      <c r="Q61" s="420">
        <f t="shared" si="105"/>
        <v>18.09</v>
      </c>
      <c r="R61" s="715">
        <f t="shared" ref="R61:T61" si="106">ROUND(SUM(R58:R60)*$J61,2)</f>
        <v>18.09</v>
      </c>
      <c r="S61" s="715">
        <f t="shared" si="106"/>
        <v>20.09</v>
      </c>
      <c r="T61" s="715">
        <f t="shared" si="106"/>
        <v>18.09</v>
      </c>
      <c r="U61" s="715">
        <f t="shared" si="105"/>
        <v>20.09</v>
      </c>
      <c r="V61" s="412">
        <f t="shared" ref="V61:W61" si="107">ROUND(SUM(V58:V60)*$J61,2)</f>
        <v>18.09</v>
      </c>
      <c r="W61" s="412">
        <f t="shared" si="107"/>
        <v>18.09</v>
      </c>
      <c r="X61" s="412">
        <f t="shared" ref="X61:Y61" si="108">ROUND(SUM(X58:X60)*$J61,2)</f>
        <v>18.09</v>
      </c>
      <c r="Y61" s="412">
        <f t="shared" si="108"/>
        <v>14.86</v>
      </c>
      <c r="Z61" s="412">
        <f t="shared" ref="Z61:AA61" si="109">ROUND(SUM(Z58:Z60)*$J61,2)</f>
        <v>18.989999999999998</v>
      </c>
      <c r="AA61" s="412">
        <f t="shared" si="109"/>
        <v>18.09</v>
      </c>
      <c r="AB61" s="412">
        <f t="shared" ref="AB61:AD61" si="110">ROUND(SUM(AB58:AB60)*$J61,2)</f>
        <v>13.91</v>
      </c>
      <c r="AC61" s="412">
        <f t="shared" si="110"/>
        <v>11.43</v>
      </c>
      <c r="AD61" s="412">
        <f t="shared" si="110"/>
        <v>18.09</v>
      </c>
      <c r="AE61" s="420">
        <f t="shared" si="105"/>
        <v>18.09</v>
      </c>
      <c r="AF61" s="420">
        <f t="shared" si="105"/>
        <v>18.09</v>
      </c>
      <c r="AG61" s="412">
        <f t="shared" si="105"/>
        <v>18.09</v>
      </c>
      <c r="AH61" s="412">
        <f t="shared" si="105"/>
        <v>18.09</v>
      </c>
      <c r="AI61" s="420">
        <f t="shared" si="105"/>
        <v>18.09</v>
      </c>
      <c r="AJ61" s="412">
        <f t="shared" si="105"/>
        <v>18.09</v>
      </c>
      <c r="AK61" s="420">
        <f t="shared" si="105"/>
        <v>18.09</v>
      </c>
      <c r="AL61" s="412">
        <f t="shared" si="105"/>
        <v>18.09</v>
      </c>
      <c r="AM61" s="420">
        <f t="shared" si="105"/>
        <v>18.09</v>
      </c>
      <c r="AN61" s="412">
        <f t="shared" si="105"/>
        <v>18.09</v>
      </c>
      <c r="AO61" s="412">
        <f t="shared" ref="AO61" si="111">ROUND(SUM(AO58:AO60)*$J61,2)</f>
        <v>18.09</v>
      </c>
      <c r="AP61" s="420">
        <f t="shared" si="105"/>
        <v>18.09</v>
      </c>
      <c r="AQ61" s="412">
        <f t="shared" ref="AQ61" si="112">ROUND(SUM(AQ58:AQ60)*$J61,2)</f>
        <v>18.09</v>
      </c>
      <c r="AR61" s="420">
        <f t="shared" si="105"/>
        <v>18.09</v>
      </c>
      <c r="AS61" s="420">
        <f>ROUND(SUM(AS58:AS60)*$J61,2)</f>
        <v>18.09</v>
      </c>
      <c r="AT61" s="412">
        <f>ROUND(SUM(AT58:AT60)*$J61,2)</f>
        <v>18.09</v>
      </c>
    </row>
    <row r="62" spans="1:46" s="413" customFormat="1" ht="14.25" customHeight="1">
      <c r="A62" s="457" t="s">
        <v>167</v>
      </c>
      <c r="B62" s="967" t="s">
        <v>857</v>
      </c>
      <c r="C62" s="968"/>
      <c r="D62" s="968"/>
      <c r="E62" s="968"/>
      <c r="F62" s="968"/>
      <c r="G62" s="968"/>
      <c r="H62" s="968"/>
      <c r="I62" s="537">
        <f>7/30/12</f>
        <v>1.9444444444444445E-2</v>
      </c>
      <c r="J62" s="456"/>
      <c r="K62" s="407">
        <f t="shared" ref="K62:AT62" si="113">$I62*(K14+K14/12+K14/12+K14/36)</f>
        <v>323.76521527777771</v>
      </c>
      <c r="L62" s="407">
        <f t="shared" si="113"/>
        <v>91.082692901234566</v>
      </c>
      <c r="M62" s="407">
        <f t="shared" si="113"/>
        <v>75.902166666666673</v>
      </c>
      <c r="N62" s="408">
        <f t="shared" si="113"/>
        <v>75.902166666666673</v>
      </c>
      <c r="O62" s="408">
        <f t="shared" si="113"/>
        <v>62.378766203703719</v>
      </c>
      <c r="P62" s="407">
        <f t="shared" si="113"/>
        <v>75.902166666666673</v>
      </c>
      <c r="Q62" s="407">
        <f t="shared" si="113"/>
        <v>75.902166666666673</v>
      </c>
      <c r="R62" s="714">
        <f t="shared" si="113"/>
        <v>75.902166666666673</v>
      </c>
      <c r="S62" s="714">
        <f t="shared" si="113"/>
        <v>84.292806181818193</v>
      </c>
      <c r="T62" s="714">
        <f t="shared" si="113"/>
        <v>75.902166666666673</v>
      </c>
      <c r="U62" s="714">
        <f t="shared" si="113"/>
        <v>84.292806181818193</v>
      </c>
      <c r="V62" s="408">
        <f t="shared" si="113"/>
        <v>75.902166666666673</v>
      </c>
      <c r="W62" s="408">
        <f t="shared" si="113"/>
        <v>75.902166666666673</v>
      </c>
      <c r="X62" s="408">
        <f t="shared" si="113"/>
        <v>75.902166666666673</v>
      </c>
      <c r="Y62" s="408">
        <f t="shared" si="113"/>
        <v>62.378766203703719</v>
      </c>
      <c r="Z62" s="408">
        <f t="shared" si="113"/>
        <v>79.683711419753081</v>
      </c>
      <c r="AA62" s="408">
        <f t="shared" si="113"/>
        <v>75.902166666666673</v>
      </c>
      <c r="AB62" s="408">
        <f t="shared" si="113"/>
        <v>58.38633564814814</v>
      </c>
      <c r="AC62" s="408">
        <f t="shared" ref="AC62" si="114">$I62*(AC14+AC14/12+AC14/12+AC14/36)</f>
        <v>47.983719907407419</v>
      </c>
      <c r="AD62" s="408">
        <f t="shared" si="113"/>
        <v>75.902166666666673</v>
      </c>
      <c r="AE62" s="407">
        <f t="shared" si="113"/>
        <v>75.902166666666673</v>
      </c>
      <c r="AF62" s="407">
        <f t="shared" si="113"/>
        <v>75.902166666666673</v>
      </c>
      <c r="AG62" s="408">
        <f t="shared" si="113"/>
        <v>75.902166666666673</v>
      </c>
      <c r="AH62" s="408">
        <f t="shared" si="113"/>
        <v>75.902166666666673</v>
      </c>
      <c r="AI62" s="407">
        <f t="shared" si="113"/>
        <v>75.902166666666673</v>
      </c>
      <c r="AJ62" s="408">
        <f t="shared" si="113"/>
        <v>75.902166666666673</v>
      </c>
      <c r="AK62" s="407">
        <f t="shared" si="113"/>
        <v>75.902166666666673</v>
      </c>
      <c r="AL62" s="408">
        <f t="shared" si="113"/>
        <v>75.902166666666673</v>
      </c>
      <c r="AM62" s="407">
        <f t="shared" si="113"/>
        <v>75.902166666666673</v>
      </c>
      <c r="AN62" s="408">
        <f t="shared" si="113"/>
        <v>75.902166666666673</v>
      </c>
      <c r="AO62" s="408">
        <f t="shared" si="113"/>
        <v>75.902166666666673</v>
      </c>
      <c r="AP62" s="407">
        <f t="shared" si="113"/>
        <v>75.902166666666673</v>
      </c>
      <c r="AQ62" s="408">
        <f t="shared" si="113"/>
        <v>75.902166666666673</v>
      </c>
      <c r="AR62" s="407">
        <f t="shared" si="113"/>
        <v>75.902166666666673</v>
      </c>
      <c r="AS62" s="407">
        <f t="shared" si="113"/>
        <v>75.902166666666673</v>
      </c>
      <c r="AT62" s="408">
        <f t="shared" si="113"/>
        <v>75.902166666666673</v>
      </c>
    </row>
    <row r="63" spans="1:46" s="413" customFormat="1" ht="14.25" customHeight="1">
      <c r="A63" s="457" t="s">
        <v>169</v>
      </c>
      <c r="B63" s="458" t="s">
        <v>858</v>
      </c>
      <c r="C63" s="461"/>
      <c r="D63" s="461"/>
      <c r="E63" s="461"/>
      <c r="F63" s="461"/>
      <c r="G63" s="461"/>
      <c r="H63" s="461"/>
      <c r="I63" s="462">
        <f>J33</f>
        <v>0.36800000000000005</v>
      </c>
      <c r="J63" s="463"/>
      <c r="K63" s="444">
        <f t="shared" ref="K63:AR63" si="115">$I63*K62</f>
        <v>119.14559922222222</v>
      </c>
      <c r="L63" s="444">
        <f t="shared" si="115"/>
        <v>33.518430987654327</v>
      </c>
      <c r="M63" s="444">
        <f t="shared" si="115"/>
        <v>27.931997333333339</v>
      </c>
      <c r="N63" s="408">
        <f t="shared" si="115"/>
        <v>27.931997333333339</v>
      </c>
      <c r="O63" s="408">
        <f t="shared" si="115"/>
        <v>22.955385962962971</v>
      </c>
      <c r="P63" s="444">
        <f t="shared" si="115"/>
        <v>27.931997333333339</v>
      </c>
      <c r="Q63" s="444">
        <f t="shared" si="115"/>
        <v>27.931997333333339</v>
      </c>
      <c r="R63" s="714">
        <f t="shared" ref="R63:T63" si="116">$I63*R62</f>
        <v>27.931997333333339</v>
      </c>
      <c r="S63" s="714">
        <f t="shared" si="116"/>
        <v>31.0197526749091</v>
      </c>
      <c r="T63" s="714">
        <f t="shared" si="116"/>
        <v>27.931997333333339</v>
      </c>
      <c r="U63" s="714">
        <f t="shared" si="115"/>
        <v>31.0197526749091</v>
      </c>
      <c r="V63" s="408">
        <f t="shared" ref="V63:W63" si="117">$I63*V62</f>
        <v>27.931997333333339</v>
      </c>
      <c r="W63" s="408">
        <f t="shared" si="117"/>
        <v>27.931997333333339</v>
      </c>
      <c r="X63" s="408">
        <f t="shared" ref="X63:Y63" si="118">$I63*X62</f>
        <v>27.931997333333339</v>
      </c>
      <c r="Y63" s="408">
        <f t="shared" si="118"/>
        <v>22.955385962962971</v>
      </c>
      <c r="Z63" s="408">
        <f t="shared" ref="Z63:AA63" si="119">$I63*Z62</f>
        <v>29.323605802469139</v>
      </c>
      <c r="AA63" s="408">
        <f t="shared" si="119"/>
        <v>27.931997333333339</v>
      </c>
      <c r="AB63" s="408">
        <f t="shared" ref="AB63:AD63" si="120">$I63*AB62</f>
        <v>21.486171518518518</v>
      </c>
      <c r="AC63" s="408">
        <f t="shared" si="120"/>
        <v>17.658008925925934</v>
      </c>
      <c r="AD63" s="408">
        <f t="shared" si="120"/>
        <v>27.931997333333339</v>
      </c>
      <c r="AE63" s="444">
        <f t="shared" si="115"/>
        <v>27.931997333333339</v>
      </c>
      <c r="AF63" s="444">
        <f t="shared" si="115"/>
        <v>27.931997333333339</v>
      </c>
      <c r="AG63" s="408">
        <f t="shared" si="115"/>
        <v>27.931997333333339</v>
      </c>
      <c r="AH63" s="408">
        <f t="shared" si="115"/>
        <v>27.931997333333339</v>
      </c>
      <c r="AI63" s="444">
        <f t="shared" si="115"/>
        <v>27.931997333333339</v>
      </c>
      <c r="AJ63" s="408">
        <f t="shared" si="115"/>
        <v>27.931997333333339</v>
      </c>
      <c r="AK63" s="444">
        <f t="shared" si="115"/>
        <v>27.931997333333339</v>
      </c>
      <c r="AL63" s="408">
        <f t="shared" si="115"/>
        <v>27.931997333333339</v>
      </c>
      <c r="AM63" s="444">
        <f t="shared" si="115"/>
        <v>27.931997333333339</v>
      </c>
      <c r="AN63" s="408">
        <f t="shared" si="115"/>
        <v>27.931997333333339</v>
      </c>
      <c r="AO63" s="408">
        <f t="shared" ref="AO63" si="121">$I63*AO62</f>
        <v>27.931997333333339</v>
      </c>
      <c r="AP63" s="444">
        <f t="shared" si="115"/>
        <v>27.931997333333339</v>
      </c>
      <c r="AQ63" s="408">
        <f t="shared" ref="AQ63" si="122">$I63*AQ62</f>
        <v>27.931997333333339</v>
      </c>
      <c r="AR63" s="444">
        <f t="shared" si="115"/>
        <v>27.931997333333339</v>
      </c>
      <c r="AS63" s="444">
        <f>$I63*AS62</f>
        <v>27.931997333333339</v>
      </c>
      <c r="AT63" s="408">
        <f>$I63*AT62</f>
        <v>27.931997333333339</v>
      </c>
    </row>
    <row r="64" spans="1:46" s="413" customFormat="1" ht="14.25" customHeight="1">
      <c r="A64" s="457" t="s">
        <v>171</v>
      </c>
      <c r="B64" s="967" t="s">
        <v>859</v>
      </c>
      <c r="C64" s="968"/>
      <c r="D64" s="968"/>
      <c r="E64" s="968"/>
      <c r="F64" s="968"/>
      <c r="G64" s="968"/>
      <c r="H64" s="968"/>
      <c r="I64" s="459">
        <v>0.4</v>
      </c>
      <c r="J64" s="464"/>
      <c r="K64" s="407">
        <f t="shared" ref="K64:AT64" si="123">40%*(K32)</f>
        <v>495.65200000000004</v>
      </c>
      <c r="L64" s="407">
        <f t="shared" si="123"/>
        <v>139.44000000000003</v>
      </c>
      <c r="M64" s="407">
        <f t="shared" si="123"/>
        <v>116.2</v>
      </c>
      <c r="N64" s="408">
        <f t="shared" si="123"/>
        <v>116.2</v>
      </c>
      <c r="O64" s="408">
        <f t="shared" si="123"/>
        <v>95.496000000000009</v>
      </c>
      <c r="P64" s="444">
        <f t="shared" si="123"/>
        <v>116.2</v>
      </c>
      <c r="Q64" s="444">
        <f t="shared" si="123"/>
        <v>116.2</v>
      </c>
      <c r="R64" s="714">
        <f t="shared" si="123"/>
        <v>116.2</v>
      </c>
      <c r="S64" s="714">
        <f t="shared" si="123"/>
        <v>129.04400000000001</v>
      </c>
      <c r="T64" s="714">
        <f t="shared" si="123"/>
        <v>116.2</v>
      </c>
      <c r="U64" s="714">
        <f t="shared" si="123"/>
        <v>129.04400000000001</v>
      </c>
      <c r="V64" s="408">
        <f t="shared" si="123"/>
        <v>116.2</v>
      </c>
      <c r="W64" s="408">
        <f t="shared" si="123"/>
        <v>116.2</v>
      </c>
      <c r="X64" s="408">
        <f t="shared" si="123"/>
        <v>116.2</v>
      </c>
      <c r="Y64" s="408">
        <f t="shared" si="123"/>
        <v>95.496000000000009</v>
      </c>
      <c r="Z64" s="408">
        <f t="shared" si="123"/>
        <v>121.98800000000001</v>
      </c>
      <c r="AA64" s="408">
        <f t="shared" si="123"/>
        <v>116.2</v>
      </c>
      <c r="AB64" s="408">
        <f t="shared" si="123"/>
        <v>89.384000000000015</v>
      </c>
      <c r="AC64" s="408">
        <f t="shared" ref="AC64" si="124">40%*(AC32)</f>
        <v>73.460000000000008</v>
      </c>
      <c r="AD64" s="408">
        <f t="shared" si="123"/>
        <v>116.2</v>
      </c>
      <c r="AE64" s="444">
        <f t="shared" si="123"/>
        <v>116.2</v>
      </c>
      <c r="AF64" s="444">
        <f t="shared" si="123"/>
        <v>116.2</v>
      </c>
      <c r="AG64" s="408">
        <f t="shared" si="123"/>
        <v>116.2</v>
      </c>
      <c r="AH64" s="408">
        <f t="shared" si="123"/>
        <v>116.2</v>
      </c>
      <c r="AI64" s="444">
        <f t="shared" si="123"/>
        <v>116.2</v>
      </c>
      <c r="AJ64" s="408">
        <f t="shared" si="123"/>
        <v>116.2</v>
      </c>
      <c r="AK64" s="444">
        <f t="shared" si="123"/>
        <v>116.2</v>
      </c>
      <c r="AL64" s="408">
        <f t="shared" si="123"/>
        <v>116.2</v>
      </c>
      <c r="AM64" s="444">
        <f t="shared" si="123"/>
        <v>116.2</v>
      </c>
      <c r="AN64" s="408">
        <f t="shared" si="123"/>
        <v>116.2</v>
      </c>
      <c r="AO64" s="408">
        <f t="shared" si="123"/>
        <v>116.2</v>
      </c>
      <c r="AP64" s="444">
        <f t="shared" si="123"/>
        <v>116.2</v>
      </c>
      <c r="AQ64" s="408">
        <f t="shared" si="123"/>
        <v>116.2</v>
      </c>
      <c r="AR64" s="444">
        <f t="shared" si="123"/>
        <v>116.2</v>
      </c>
      <c r="AS64" s="444">
        <f t="shared" si="123"/>
        <v>116.2</v>
      </c>
      <c r="AT64" s="408">
        <f t="shared" si="123"/>
        <v>116.2</v>
      </c>
    </row>
    <row r="65" spans="1:46" s="413" customFormat="1" ht="14.25" customHeight="1">
      <c r="A65" s="452" t="s">
        <v>173</v>
      </c>
      <c r="B65" s="465" t="s">
        <v>860</v>
      </c>
      <c r="C65" s="466"/>
      <c r="D65" s="466"/>
      <c r="E65" s="466"/>
      <c r="F65" s="466"/>
      <c r="G65" s="466"/>
      <c r="H65" s="466"/>
      <c r="I65" s="460"/>
      <c r="J65" s="463">
        <v>1</v>
      </c>
      <c r="K65" s="420">
        <f t="shared" ref="K65:AR65" si="125">ROUND((SUM(K62:K64))*$J65,2)</f>
        <v>938.56</v>
      </c>
      <c r="L65" s="420">
        <f t="shared" si="125"/>
        <v>264.04000000000002</v>
      </c>
      <c r="M65" s="420">
        <f t="shared" si="125"/>
        <v>220.03</v>
      </c>
      <c r="N65" s="412">
        <f t="shared" si="125"/>
        <v>220.03</v>
      </c>
      <c r="O65" s="412">
        <f t="shared" si="125"/>
        <v>180.83</v>
      </c>
      <c r="P65" s="420">
        <f t="shared" si="125"/>
        <v>220.03</v>
      </c>
      <c r="Q65" s="420">
        <f t="shared" si="125"/>
        <v>220.03</v>
      </c>
      <c r="R65" s="715">
        <f t="shared" ref="R65:T65" si="126">ROUND((SUM(R62:R64))*$J65,2)</f>
        <v>220.03</v>
      </c>
      <c r="S65" s="715">
        <f t="shared" si="126"/>
        <v>244.36</v>
      </c>
      <c r="T65" s="715">
        <f t="shared" si="126"/>
        <v>220.03</v>
      </c>
      <c r="U65" s="715">
        <f t="shared" si="125"/>
        <v>244.36</v>
      </c>
      <c r="V65" s="412">
        <f t="shared" ref="V65:W65" si="127">ROUND((SUM(V62:V64))*$J65,2)</f>
        <v>220.03</v>
      </c>
      <c r="W65" s="412">
        <f t="shared" si="127"/>
        <v>220.03</v>
      </c>
      <c r="X65" s="412">
        <f t="shared" ref="X65:Y65" si="128">ROUND((SUM(X62:X64))*$J65,2)</f>
        <v>220.03</v>
      </c>
      <c r="Y65" s="412">
        <f t="shared" si="128"/>
        <v>180.83</v>
      </c>
      <c r="Z65" s="412">
        <f t="shared" ref="Z65:AA65" si="129">ROUND((SUM(Z62:Z64))*$J65,2)</f>
        <v>231</v>
      </c>
      <c r="AA65" s="412">
        <f t="shared" si="129"/>
        <v>220.03</v>
      </c>
      <c r="AB65" s="412">
        <f t="shared" ref="AB65:AD65" si="130">ROUND((SUM(AB62:AB64))*$J65,2)</f>
        <v>169.26</v>
      </c>
      <c r="AC65" s="412">
        <f t="shared" si="130"/>
        <v>139.1</v>
      </c>
      <c r="AD65" s="412">
        <f t="shared" si="130"/>
        <v>220.03</v>
      </c>
      <c r="AE65" s="420">
        <f t="shared" si="125"/>
        <v>220.03</v>
      </c>
      <c r="AF65" s="420">
        <f t="shared" si="125"/>
        <v>220.03</v>
      </c>
      <c r="AG65" s="412">
        <f t="shared" si="125"/>
        <v>220.03</v>
      </c>
      <c r="AH65" s="412">
        <f t="shared" si="125"/>
        <v>220.03</v>
      </c>
      <c r="AI65" s="420">
        <f t="shared" si="125"/>
        <v>220.03</v>
      </c>
      <c r="AJ65" s="412">
        <f t="shared" si="125"/>
        <v>220.03</v>
      </c>
      <c r="AK65" s="420">
        <f t="shared" si="125"/>
        <v>220.03</v>
      </c>
      <c r="AL65" s="412">
        <f t="shared" si="125"/>
        <v>220.03</v>
      </c>
      <c r="AM65" s="420">
        <f t="shared" si="125"/>
        <v>220.03</v>
      </c>
      <c r="AN65" s="412">
        <f t="shared" si="125"/>
        <v>220.03</v>
      </c>
      <c r="AO65" s="412">
        <f t="shared" ref="AO65" si="131">ROUND((SUM(AO62:AO64))*$J65,2)</f>
        <v>220.03</v>
      </c>
      <c r="AP65" s="420">
        <f t="shared" si="125"/>
        <v>220.03</v>
      </c>
      <c r="AQ65" s="412">
        <f t="shared" ref="AQ65" si="132">ROUND((SUM(AQ62:AQ64))*$J65,2)</f>
        <v>220.03</v>
      </c>
      <c r="AR65" s="420">
        <f t="shared" si="125"/>
        <v>220.03</v>
      </c>
      <c r="AS65" s="420">
        <f>ROUND((SUM(AS62:AS64))*$J65,2)</f>
        <v>220.03</v>
      </c>
      <c r="AT65" s="412">
        <f>ROUND((SUM(AT62:AT64))*$J65,2)</f>
        <v>220.03</v>
      </c>
    </row>
    <row r="66" spans="1:46" s="413" customFormat="1" ht="14.25" customHeight="1">
      <c r="A66" s="974" t="s">
        <v>861</v>
      </c>
      <c r="B66" s="975"/>
      <c r="C66" s="975"/>
      <c r="D66" s="975"/>
      <c r="E66" s="975"/>
      <c r="F66" s="975"/>
      <c r="G66" s="975"/>
      <c r="H66" s="975"/>
      <c r="I66" s="976"/>
      <c r="J66" s="467"/>
      <c r="K66" s="468">
        <f t="shared" ref="K66:AR66" si="133">K61+K65</f>
        <v>1015.7099999999999</v>
      </c>
      <c r="L66" s="468">
        <f t="shared" si="133"/>
        <v>285.74</v>
      </c>
      <c r="M66" s="468">
        <f t="shared" si="133"/>
        <v>238.12</v>
      </c>
      <c r="N66" s="412">
        <f t="shared" si="133"/>
        <v>238.12</v>
      </c>
      <c r="O66" s="412">
        <f t="shared" si="133"/>
        <v>195.69</v>
      </c>
      <c r="P66" s="420">
        <f t="shared" si="133"/>
        <v>238.12</v>
      </c>
      <c r="Q66" s="420">
        <f t="shared" si="133"/>
        <v>238.12</v>
      </c>
      <c r="R66" s="715">
        <f t="shared" ref="R66:T66" si="134">R61+R65</f>
        <v>238.12</v>
      </c>
      <c r="S66" s="715">
        <f t="shared" si="134"/>
        <v>264.45</v>
      </c>
      <c r="T66" s="715">
        <f t="shared" si="134"/>
        <v>238.12</v>
      </c>
      <c r="U66" s="715">
        <f t="shared" si="133"/>
        <v>264.45</v>
      </c>
      <c r="V66" s="412">
        <f t="shared" ref="V66:W66" si="135">V61+V65</f>
        <v>238.12</v>
      </c>
      <c r="W66" s="412">
        <f t="shared" si="135"/>
        <v>238.12</v>
      </c>
      <c r="X66" s="412">
        <f t="shared" ref="X66:Y66" si="136">X61+X65</f>
        <v>238.12</v>
      </c>
      <c r="Y66" s="412">
        <f t="shared" si="136"/>
        <v>195.69</v>
      </c>
      <c r="Z66" s="412">
        <f t="shared" ref="Z66:AA66" si="137">Z61+Z65</f>
        <v>249.99</v>
      </c>
      <c r="AA66" s="412">
        <f t="shared" si="137"/>
        <v>238.12</v>
      </c>
      <c r="AB66" s="412">
        <f t="shared" ref="AB66:AD66" si="138">AB61+AB65</f>
        <v>183.17</v>
      </c>
      <c r="AC66" s="412">
        <f t="shared" si="138"/>
        <v>150.53</v>
      </c>
      <c r="AD66" s="412">
        <f t="shared" si="138"/>
        <v>238.12</v>
      </c>
      <c r="AE66" s="420">
        <f t="shared" si="133"/>
        <v>238.12</v>
      </c>
      <c r="AF66" s="420">
        <f t="shared" si="133"/>
        <v>238.12</v>
      </c>
      <c r="AG66" s="412">
        <f t="shared" si="133"/>
        <v>238.12</v>
      </c>
      <c r="AH66" s="412">
        <f t="shared" si="133"/>
        <v>238.12</v>
      </c>
      <c r="AI66" s="420">
        <f t="shared" si="133"/>
        <v>238.12</v>
      </c>
      <c r="AJ66" s="412">
        <f t="shared" si="133"/>
        <v>238.12</v>
      </c>
      <c r="AK66" s="420">
        <f t="shared" si="133"/>
        <v>238.12</v>
      </c>
      <c r="AL66" s="412">
        <f t="shared" si="133"/>
        <v>238.12</v>
      </c>
      <c r="AM66" s="420">
        <f t="shared" si="133"/>
        <v>238.12</v>
      </c>
      <c r="AN66" s="412">
        <f t="shared" si="133"/>
        <v>238.12</v>
      </c>
      <c r="AO66" s="412">
        <f t="shared" ref="AO66" si="139">AO61+AO65</f>
        <v>238.12</v>
      </c>
      <c r="AP66" s="420">
        <f t="shared" si="133"/>
        <v>238.12</v>
      </c>
      <c r="AQ66" s="412">
        <f t="shared" ref="AQ66" si="140">AQ61+AQ65</f>
        <v>238.12</v>
      </c>
      <c r="AR66" s="420">
        <f t="shared" si="133"/>
        <v>238.12</v>
      </c>
      <c r="AS66" s="420">
        <f>AS61+AS65</f>
        <v>238.12</v>
      </c>
      <c r="AT66" s="412">
        <f>AT61+AT65</f>
        <v>238.12</v>
      </c>
    </row>
    <row r="67" spans="1:46" s="413" customFormat="1" ht="43.5" customHeight="1">
      <c r="A67" s="1018" t="str">
        <f>"A EMPRESA RECEBERÁ APENAS O VALOR MULTIPLICADO PELOS MESES TRABALHADOS DO TOTAL DO MÓDULO 3 - R$ "&amp;K66&amp;" do Posto 1 (Exemplo)!! 
INDEPENDENTEMENTE DE TER OCORRIDO API OU APT !!!"</f>
        <v>A EMPRESA RECEBERÁ APENAS O VALOR MULTIPLICADO PELOS MESES TRABALHADOS DO TOTAL DO MÓDULO 3 - R$ 1015,71 do Posto 1 (Exemplo)!! 
INDEPENDENTEMENTE DE TER OCORRIDO API OU APT !!!</v>
      </c>
      <c r="B67" s="1019"/>
      <c r="C67" s="1019"/>
      <c r="D67" s="1019"/>
      <c r="E67" s="1019"/>
      <c r="F67" s="1019"/>
      <c r="G67" s="1019"/>
      <c r="H67" s="1019"/>
      <c r="I67" s="1019"/>
      <c r="J67" s="1020"/>
      <c r="K67" s="469"/>
      <c r="L67" s="414"/>
      <c r="M67" s="414"/>
      <c r="P67" s="414"/>
      <c r="Q67" s="414"/>
      <c r="R67" s="585"/>
      <c r="S67" s="585"/>
      <c r="T67" s="585"/>
      <c r="U67" s="585"/>
      <c r="AE67" s="477"/>
      <c r="AF67" s="414"/>
      <c r="AI67" s="414"/>
      <c r="AK67" s="414"/>
      <c r="AM67" s="414"/>
      <c r="AP67" s="414"/>
      <c r="AR67" s="414"/>
      <c r="AS67" s="414"/>
    </row>
    <row r="68" spans="1:46" s="413" customFormat="1">
      <c r="K68" s="414"/>
      <c r="L68" s="414"/>
      <c r="M68" s="414"/>
      <c r="P68" s="414"/>
      <c r="Q68" s="414"/>
      <c r="R68" s="585"/>
      <c r="S68" s="585"/>
      <c r="T68" s="585"/>
      <c r="U68" s="585"/>
      <c r="AE68" s="477"/>
      <c r="AF68" s="414"/>
      <c r="AI68" s="414"/>
      <c r="AK68" s="414"/>
      <c r="AM68" s="414"/>
      <c r="AP68" s="414"/>
      <c r="AR68" s="414"/>
      <c r="AS68" s="414"/>
    </row>
    <row r="69" spans="1:46" s="413" customFormat="1">
      <c r="A69" s="1005" t="s">
        <v>862</v>
      </c>
      <c r="B69" s="1006"/>
      <c r="C69" s="1006"/>
      <c r="D69" s="1006"/>
      <c r="E69" s="1006"/>
      <c r="F69" s="1006"/>
      <c r="G69" s="1006"/>
      <c r="H69" s="1006"/>
      <c r="I69" s="1006"/>
      <c r="J69" s="470"/>
      <c r="K69" s="404" t="s">
        <v>830</v>
      </c>
      <c r="L69" s="404" t="s">
        <v>830</v>
      </c>
      <c r="M69" s="404" t="s">
        <v>830</v>
      </c>
      <c r="N69" s="552" t="s">
        <v>830</v>
      </c>
      <c r="O69" s="552" t="s">
        <v>830</v>
      </c>
      <c r="P69" s="404" t="s">
        <v>830</v>
      </c>
      <c r="Q69" s="404" t="s">
        <v>830</v>
      </c>
      <c r="R69" s="712" t="s">
        <v>830</v>
      </c>
      <c r="S69" s="712" t="s">
        <v>830</v>
      </c>
      <c r="T69" s="712" t="s">
        <v>830</v>
      </c>
      <c r="U69" s="712" t="s">
        <v>830</v>
      </c>
      <c r="V69" s="552" t="s">
        <v>830</v>
      </c>
      <c r="W69" s="552" t="s">
        <v>830</v>
      </c>
      <c r="X69" s="552" t="s">
        <v>830</v>
      </c>
      <c r="Y69" s="552" t="s">
        <v>830</v>
      </c>
      <c r="Z69" s="552" t="s">
        <v>830</v>
      </c>
      <c r="AA69" s="552" t="s">
        <v>830</v>
      </c>
      <c r="AB69" s="552" t="s">
        <v>830</v>
      </c>
      <c r="AC69" s="552" t="s">
        <v>830</v>
      </c>
      <c r="AD69" s="552" t="s">
        <v>830</v>
      </c>
      <c r="AE69" s="784" t="s">
        <v>830</v>
      </c>
      <c r="AF69" s="404" t="s">
        <v>830</v>
      </c>
      <c r="AG69" s="552" t="s">
        <v>830</v>
      </c>
      <c r="AH69" s="552" t="s">
        <v>830</v>
      </c>
      <c r="AI69" s="404" t="s">
        <v>830</v>
      </c>
      <c r="AJ69" s="552" t="s">
        <v>830</v>
      </c>
      <c r="AK69" s="404" t="s">
        <v>830</v>
      </c>
      <c r="AL69" s="552" t="s">
        <v>830</v>
      </c>
      <c r="AM69" s="404" t="s">
        <v>830</v>
      </c>
      <c r="AN69" s="552" t="s">
        <v>830</v>
      </c>
      <c r="AO69" s="552" t="s">
        <v>830</v>
      </c>
      <c r="AP69" s="404" t="s">
        <v>830</v>
      </c>
      <c r="AQ69" s="552" t="s">
        <v>830</v>
      </c>
      <c r="AR69" s="404" t="s">
        <v>830</v>
      </c>
      <c r="AS69" s="404" t="s">
        <v>830</v>
      </c>
      <c r="AT69" s="552" t="s">
        <v>830</v>
      </c>
    </row>
    <row r="70" spans="1:46" s="413" customFormat="1">
      <c r="A70" s="911" t="s">
        <v>863</v>
      </c>
      <c r="B70" s="912"/>
      <c r="C70" s="912"/>
      <c r="D70" s="912"/>
      <c r="E70" s="912"/>
      <c r="F70" s="912"/>
      <c r="G70" s="912"/>
      <c r="H70" s="912"/>
      <c r="I70" s="912"/>
      <c r="J70" s="913"/>
      <c r="K70" s="444">
        <f t="shared" ref="K70:AT70" si="141">K14</f>
        <v>13940.189999999999</v>
      </c>
      <c r="L70" s="444">
        <f t="shared" si="141"/>
        <v>3921.7</v>
      </c>
      <c r="M70" s="444">
        <f t="shared" si="141"/>
        <v>3268.08</v>
      </c>
      <c r="N70" s="408">
        <f t="shared" si="141"/>
        <v>3268.08</v>
      </c>
      <c r="O70" s="408">
        <f t="shared" si="141"/>
        <v>2685.8100000000004</v>
      </c>
      <c r="P70" s="444">
        <f t="shared" si="141"/>
        <v>3268.08</v>
      </c>
      <c r="Q70" s="444">
        <f t="shared" si="141"/>
        <v>3268.08</v>
      </c>
      <c r="R70" s="714">
        <f t="shared" si="141"/>
        <v>3268.08</v>
      </c>
      <c r="S70" s="714">
        <f t="shared" si="141"/>
        <v>3629.3513890909094</v>
      </c>
      <c r="T70" s="714">
        <f t="shared" si="141"/>
        <v>3268.08</v>
      </c>
      <c r="U70" s="714">
        <f t="shared" si="141"/>
        <v>3629.3513890909094</v>
      </c>
      <c r="V70" s="408">
        <f t="shared" si="141"/>
        <v>3268.08</v>
      </c>
      <c r="W70" s="408">
        <f t="shared" si="141"/>
        <v>3268.08</v>
      </c>
      <c r="X70" s="408">
        <f t="shared" si="141"/>
        <v>3268.08</v>
      </c>
      <c r="Y70" s="408">
        <f t="shared" si="141"/>
        <v>2685.8100000000004</v>
      </c>
      <c r="Z70" s="408">
        <f t="shared" si="141"/>
        <v>3430.9</v>
      </c>
      <c r="AA70" s="408">
        <f t="shared" si="141"/>
        <v>3268.08</v>
      </c>
      <c r="AB70" s="408">
        <f t="shared" si="141"/>
        <v>2513.91</v>
      </c>
      <c r="AC70" s="408">
        <f t="shared" ref="AC70" si="142">AC14</f>
        <v>2066.0100000000002</v>
      </c>
      <c r="AD70" s="408">
        <f t="shared" si="141"/>
        <v>3268.08</v>
      </c>
      <c r="AE70" s="444">
        <f t="shared" si="141"/>
        <v>3268.08</v>
      </c>
      <c r="AF70" s="444">
        <f t="shared" si="141"/>
        <v>3268.08</v>
      </c>
      <c r="AG70" s="408">
        <f t="shared" si="141"/>
        <v>3268.08</v>
      </c>
      <c r="AH70" s="408">
        <f t="shared" si="141"/>
        <v>3268.08</v>
      </c>
      <c r="AI70" s="444">
        <f t="shared" si="141"/>
        <v>3268.08</v>
      </c>
      <c r="AJ70" s="408">
        <f t="shared" si="141"/>
        <v>3268.08</v>
      </c>
      <c r="AK70" s="444">
        <f t="shared" si="141"/>
        <v>3268.08</v>
      </c>
      <c r="AL70" s="408">
        <f t="shared" si="141"/>
        <v>3268.08</v>
      </c>
      <c r="AM70" s="444">
        <f t="shared" si="141"/>
        <v>3268.08</v>
      </c>
      <c r="AN70" s="408">
        <f t="shared" si="141"/>
        <v>3268.08</v>
      </c>
      <c r="AO70" s="408">
        <f t="shared" si="141"/>
        <v>3268.08</v>
      </c>
      <c r="AP70" s="444">
        <f t="shared" si="141"/>
        <v>3268.08</v>
      </c>
      <c r="AQ70" s="408">
        <f t="shared" si="141"/>
        <v>3268.08</v>
      </c>
      <c r="AR70" s="444">
        <f t="shared" si="141"/>
        <v>3268.08</v>
      </c>
      <c r="AS70" s="444">
        <f t="shared" si="141"/>
        <v>3268.08</v>
      </c>
      <c r="AT70" s="408">
        <f t="shared" si="141"/>
        <v>3268.08</v>
      </c>
    </row>
    <row r="71" spans="1:46" s="413" customFormat="1">
      <c r="A71" s="911" t="s">
        <v>864</v>
      </c>
      <c r="B71" s="912"/>
      <c r="C71" s="912"/>
      <c r="D71" s="912"/>
      <c r="E71" s="912"/>
      <c r="F71" s="912"/>
      <c r="G71" s="912"/>
      <c r="H71" s="912"/>
      <c r="I71" s="912"/>
      <c r="J71" s="913"/>
      <c r="K71" s="444">
        <f t="shared" ref="K71:AR71" si="143">K55</f>
        <v>8321.5550000000003</v>
      </c>
      <c r="L71" s="444">
        <f t="shared" si="143"/>
        <v>3053.7218000000003</v>
      </c>
      <c r="M71" s="444">
        <f t="shared" si="143"/>
        <v>2744.0185999999999</v>
      </c>
      <c r="N71" s="408">
        <f t="shared" si="143"/>
        <v>2744.0185999999999</v>
      </c>
      <c r="O71" s="408">
        <f t="shared" si="143"/>
        <v>2468.1226000000001</v>
      </c>
      <c r="P71" s="444">
        <f t="shared" si="143"/>
        <v>2744.0185999999999</v>
      </c>
      <c r="Q71" s="444">
        <f t="shared" si="143"/>
        <v>2744.0185999999999</v>
      </c>
      <c r="R71" s="714">
        <f t="shared" ref="R71:T71" si="144">R55</f>
        <v>2530.7006000000001</v>
      </c>
      <c r="S71" s="714">
        <f t="shared" si="144"/>
        <v>2718.5806000000002</v>
      </c>
      <c r="T71" s="714">
        <f t="shared" si="144"/>
        <v>2530.7006000000001</v>
      </c>
      <c r="U71" s="714">
        <f t="shared" si="143"/>
        <v>2718.5806000000002</v>
      </c>
      <c r="V71" s="408">
        <f t="shared" ref="V71:W71" si="145">V55</f>
        <v>2744.0185999999999</v>
      </c>
      <c r="W71" s="408">
        <f t="shared" si="145"/>
        <v>2744.0185999999999</v>
      </c>
      <c r="X71" s="408">
        <f t="shared" ref="X71:Y71" si="146">X55</f>
        <v>2744.0185999999999</v>
      </c>
      <c r="Y71" s="408">
        <f t="shared" si="146"/>
        <v>2468.1226000000001</v>
      </c>
      <c r="Z71" s="408">
        <f t="shared" ref="Z71:AA71" si="147">Z55</f>
        <v>2610.4518999999996</v>
      </c>
      <c r="AA71" s="408">
        <f t="shared" si="147"/>
        <v>2744.0185999999999</v>
      </c>
      <c r="AB71" s="408">
        <f t="shared" ref="AB71:AD71" si="148">AB55</f>
        <v>2351.8485999999998</v>
      </c>
      <c r="AC71" s="408">
        <f t="shared" si="148"/>
        <v>2145.8126000000002</v>
      </c>
      <c r="AD71" s="408">
        <f t="shared" si="148"/>
        <v>2659.6705999999999</v>
      </c>
      <c r="AE71" s="444">
        <f t="shared" si="143"/>
        <v>2633.2705999999998</v>
      </c>
      <c r="AF71" s="444">
        <f t="shared" si="143"/>
        <v>2642.0706</v>
      </c>
      <c r="AG71" s="408">
        <f t="shared" si="143"/>
        <v>2681.6705999999999</v>
      </c>
      <c r="AH71" s="408">
        <f t="shared" si="143"/>
        <v>2681.6705999999999</v>
      </c>
      <c r="AI71" s="444">
        <f t="shared" si="143"/>
        <v>2620.0706</v>
      </c>
      <c r="AJ71" s="408">
        <f t="shared" si="143"/>
        <v>2677.2705999999998</v>
      </c>
      <c r="AK71" s="444">
        <f t="shared" si="143"/>
        <v>2675.0706</v>
      </c>
      <c r="AL71" s="408">
        <f t="shared" si="143"/>
        <v>2681.6705999999999</v>
      </c>
      <c r="AM71" s="444">
        <f t="shared" si="143"/>
        <v>2642.0706</v>
      </c>
      <c r="AN71" s="408">
        <f t="shared" si="143"/>
        <v>2686.0706</v>
      </c>
      <c r="AO71" s="408">
        <f t="shared" ref="AO71" si="149">AO55</f>
        <v>2708.0706</v>
      </c>
      <c r="AP71" s="444">
        <f t="shared" si="143"/>
        <v>2650.8706000000002</v>
      </c>
      <c r="AQ71" s="408">
        <f t="shared" ref="AQ71" si="150">AQ55</f>
        <v>2681.6705999999999</v>
      </c>
      <c r="AR71" s="444">
        <f t="shared" si="143"/>
        <v>2620.0706</v>
      </c>
      <c r="AS71" s="444">
        <f>AS55</f>
        <v>2653.0706</v>
      </c>
      <c r="AT71" s="408">
        <f>AT55</f>
        <v>2653.0706</v>
      </c>
    </row>
    <row r="72" spans="1:46" s="413" customFormat="1">
      <c r="A72" s="911" t="s">
        <v>865</v>
      </c>
      <c r="B72" s="912"/>
      <c r="C72" s="912"/>
      <c r="D72" s="912"/>
      <c r="E72" s="912"/>
      <c r="F72" s="912"/>
      <c r="G72" s="912"/>
      <c r="H72" s="912"/>
      <c r="I72" s="912"/>
      <c r="J72" s="913"/>
      <c r="K72" s="444">
        <f t="shared" ref="K72:AR72" si="151">K66</f>
        <v>1015.7099999999999</v>
      </c>
      <c r="L72" s="444">
        <f t="shared" si="151"/>
        <v>285.74</v>
      </c>
      <c r="M72" s="444">
        <f t="shared" si="151"/>
        <v>238.12</v>
      </c>
      <c r="N72" s="408">
        <f t="shared" si="151"/>
        <v>238.12</v>
      </c>
      <c r="O72" s="408">
        <f t="shared" si="151"/>
        <v>195.69</v>
      </c>
      <c r="P72" s="444">
        <f t="shared" si="151"/>
        <v>238.12</v>
      </c>
      <c r="Q72" s="444">
        <f t="shared" si="151"/>
        <v>238.12</v>
      </c>
      <c r="R72" s="714">
        <f t="shared" ref="R72:T72" si="152">R66</f>
        <v>238.12</v>
      </c>
      <c r="S72" s="714">
        <f t="shared" si="152"/>
        <v>264.45</v>
      </c>
      <c r="T72" s="714">
        <f t="shared" si="152"/>
        <v>238.12</v>
      </c>
      <c r="U72" s="714">
        <f t="shared" si="151"/>
        <v>264.45</v>
      </c>
      <c r="V72" s="408">
        <f t="shared" ref="V72:W72" si="153">V66</f>
        <v>238.12</v>
      </c>
      <c r="W72" s="408">
        <f t="shared" si="153"/>
        <v>238.12</v>
      </c>
      <c r="X72" s="408">
        <f t="shared" ref="X72:Y72" si="154">X66</f>
        <v>238.12</v>
      </c>
      <c r="Y72" s="408">
        <f t="shared" si="154"/>
        <v>195.69</v>
      </c>
      <c r="Z72" s="408">
        <f t="shared" ref="Z72:AA72" si="155">Z66</f>
        <v>249.99</v>
      </c>
      <c r="AA72" s="408">
        <f t="shared" si="155"/>
        <v>238.12</v>
      </c>
      <c r="AB72" s="408">
        <f t="shared" ref="AB72:AD72" si="156">AB66</f>
        <v>183.17</v>
      </c>
      <c r="AC72" s="408">
        <f t="shared" si="156"/>
        <v>150.53</v>
      </c>
      <c r="AD72" s="408">
        <f t="shared" si="156"/>
        <v>238.12</v>
      </c>
      <c r="AE72" s="444">
        <f t="shared" si="151"/>
        <v>238.12</v>
      </c>
      <c r="AF72" s="444">
        <f t="shared" si="151"/>
        <v>238.12</v>
      </c>
      <c r="AG72" s="408">
        <f t="shared" si="151"/>
        <v>238.12</v>
      </c>
      <c r="AH72" s="408">
        <f t="shared" si="151"/>
        <v>238.12</v>
      </c>
      <c r="AI72" s="444">
        <f t="shared" si="151"/>
        <v>238.12</v>
      </c>
      <c r="AJ72" s="408">
        <f t="shared" si="151"/>
        <v>238.12</v>
      </c>
      <c r="AK72" s="444">
        <f t="shared" si="151"/>
        <v>238.12</v>
      </c>
      <c r="AL72" s="408">
        <f t="shared" si="151"/>
        <v>238.12</v>
      </c>
      <c r="AM72" s="444">
        <f t="shared" si="151"/>
        <v>238.12</v>
      </c>
      <c r="AN72" s="408">
        <f t="shared" si="151"/>
        <v>238.12</v>
      </c>
      <c r="AO72" s="408">
        <f t="shared" ref="AO72" si="157">AO66</f>
        <v>238.12</v>
      </c>
      <c r="AP72" s="444">
        <f t="shared" si="151"/>
        <v>238.12</v>
      </c>
      <c r="AQ72" s="408">
        <f t="shared" ref="AQ72" si="158">AQ66</f>
        <v>238.12</v>
      </c>
      <c r="AR72" s="444">
        <f t="shared" si="151"/>
        <v>238.12</v>
      </c>
      <c r="AS72" s="444">
        <f>AS66</f>
        <v>238.12</v>
      </c>
      <c r="AT72" s="408">
        <f>AT66</f>
        <v>238.12</v>
      </c>
    </row>
    <row r="73" spans="1:46" s="413" customFormat="1">
      <c r="A73" s="979" t="s">
        <v>175</v>
      </c>
      <c r="B73" s="980"/>
      <c r="C73" s="980"/>
      <c r="D73" s="980"/>
      <c r="E73" s="980"/>
      <c r="F73" s="980"/>
      <c r="G73" s="980"/>
      <c r="H73" s="980"/>
      <c r="I73" s="980"/>
      <c r="J73" s="445"/>
      <c r="K73" s="420">
        <f t="shared" ref="K73:AR73" si="159">SUM(K70:K72)</f>
        <v>23277.454999999998</v>
      </c>
      <c r="L73" s="420">
        <f t="shared" si="159"/>
        <v>7261.1617999999999</v>
      </c>
      <c r="M73" s="420">
        <f t="shared" si="159"/>
        <v>6250.2185999999992</v>
      </c>
      <c r="N73" s="412">
        <f t="shared" si="159"/>
        <v>6250.2185999999992</v>
      </c>
      <c r="O73" s="412">
        <f t="shared" si="159"/>
        <v>5349.6225999999997</v>
      </c>
      <c r="P73" s="420">
        <f t="shared" si="159"/>
        <v>6250.2185999999992</v>
      </c>
      <c r="Q73" s="420">
        <f t="shared" si="159"/>
        <v>6250.2185999999992</v>
      </c>
      <c r="R73" s="715">
        <f t="shared" ref="R73:T73" si="160">SUM(R70:R72)</f>
        <v>6036.9005999999999</v>
      </c>
      <c r="S73" s="715">
        <f t="shared" si="160"/>
        <v>6612.3819890909099</v>
      </c>
      <c r="T73" s="715">
        <f t="shared" si="160"/>
        <v>6036.9005999999999</v>
      </c>
      <c r="U73" s="715">
        <f t="shared" si="159"/>
        <v>6612.3819890909099</v>
      </c>
      <c r="V73" s="412">
        <f t="shared" ref="V73:W73" si="161">SUM(V70:V72)</f>
        <v>6250.2185999999992</v>
      </c>
      <c r="W73" s="412">
        <f t="shared" si="161"/>
        <v>6250.2185999999992</v>
      </c>
      <c r="X73" s="412">
        <f t="shared" ref="X73:Y73" si="162">SUM(X70:X72)</f>
        <v>6250.2185999999992</v>
      </c>
      <c r="Y73" s="412">
        <f t="shared" si="162"/>
        <v>5349.6225999999997</v>
      </c>
      <c r="Z73" s="412">
        <f t="shared" ref="Z73:AA73" si="163">SUM(Z70:Z72)</f>
        <v>6291.3418999999994</v>
      </c>
      <c r="AA73" s="412">
        <f t="shared" si="163"/>
        <v>6250.2185999999992</v>
      </c>
      <c r="AB73" s="412">
        <f t="shared" ref="AB73:AD73" si="164">SUM(AB70:AB72)</f>
        <v>5048.9285999999993</v>
      </c>
      <c r="AC73" s="412">
        <f t="shared" si="164"/>
        <v>4362.3526000000002</v>
      </c>
      <c r="AD73" s="412">
        <f t="shared" si="164"/>
        <v>6165.8705999999993</v>
      </c>
      <c r="AE73" s="420">
        <f t="shared" si="159"/>
        <v>6139.4705999999996</v>
      </c>
      <c r="AF73" s="420">
        <f t="shared" si="159"/>
        <v>6148.2705999999998</v>
      </c>
      <c r="AG73" s="412">
        <f t="shared" si="159"/>
        <v>6187.8705999999993</v>
      </c>
      <c r="AH73" s="412">
        <f t="shared" si="159"/>
        <v>6187.8705999999993</v>
      </c>
      <c r="AI73" s="420">
        <f t="shared" si="159"/>
        <v>6126.2705999999998</v>
      </c>
      <c r="AJ73" s="412">
        <f t="shared" si="159"/>
        <v>6183.4705999999996</v>
      </c>
      <c r="AK73" s="420">
        <f t="shared" si="159"/>
        <v>6181.2705999999998</v>
      </c>
      <c r="AL73" s="412">
        <f t="shared" si="159"/>
        <v>6187.8705999999993</v>
      </c>
      <c r="AM73" s="420">
        <f t="shared" si="159"/>
        <v>6148.2705999999998</v>
      </c>
      <c r="AN73" s="412">
        <f t="shared" si="159"/>
        <v>6192.2705999999998</v>
      </c>
      <c r="AO73" s="412">
        <f t="shared" ref="AO73" si="165">SUM(AO70:AO72)</f>
        <v>6214.2705999999998</v>
      </c>
      <c r="AP73" s="420">
        <f t="shared" si="159"/>
        <v>6157.0706</v>
      </c>
      <c r="AQ73" s="412">
        <f t="shared" ref="AQ73" si="166">SUM(AQ70:AQ72)</f>
        <v>6187.8705999999993</v>
      </c>
      <c r="AR73" s="420">
        <f t="shared" si="159"/>
        <v>6126.2705999999998</v>
      </c>
      <c r="AS73" s="420">
        <f>SUM(AS70:AS72)</f>
        <v>6159.2705999999998</v>
      </c>
      <c r="AT73" s="412">
        <f>SUM(AT70:AT72)</f>
        <v>6159.2705999999998</v>
      </c>
    </row>
    <row r="74" spans="1:46" s="413" customFormat="1" ht="51" customHeight="1">
      <c r="K74" s="414"/>
      <c r="L74" s="414"/>
      <c r="M74" s="414"/>
      <c r="P74" s="414"/>
      <c r="Q74" s="414"/>
      <c r="R74" s="585"/>
      <c r="S74" s="585"/>
      <c r="T74" s="585"/>
      <c r="U74" s="585"/>
      <c r="AE74" s="477"/>
      <c r="AF74" s="414"/>
      <c r="AI74" s="414"/>
      <c r="AK74" s="414"/>
      <c r="AM74" s="414"/>
      <c r="AP74" s="414"/>
      <c r="AR74" s="414"/>
      <c r="AS74" s="414"/>
    </row>
    <row r="75" spans="1:46" s="413" customFormat="1">
      <c r="A75" s="899" t="s">
        <v>216</v>
      </c>
      <c r="B75" s="900"/>
      <c r="C75" s="900"/>
      <c r="D75" s="900"/>
      <c r="E75" s="900"/>
      <c r="F75" s="900"/>
      <c r="G75" s="900"/>
      <c r="H75" s="900"/>
      <c r="I75" s="900"/>
      <c r="J75" s="901"/>
      <c r="K75" s="471"/>
      <c r="L75" s="470"/>
      <c r="M75" s="470"/>
      <c r="N75" s="472"/>
      <c r="O75" s="472"/>
      <c r="P75" s="470"/>
      <c r="Q75" s="470"/>
      <c r="R75" s="721"/>
      <c r="S75" s="721"/>
      <c r="T75" s="721"/>
      <c r="U75" s="721"/>
      <c r="V75" s="472"/>
      <c r="W75" s="472"/>
      <c r="X75" s="472"/>
      <c r="Y75" s="472"/>
      <c r="Z75" s="472"/>
      <c r="AA75" s="472"/>
      <c r="AB75" s="472"/>
      <c r="AC75" s="472"/>
      <c r="AD75" s="472"/>
      <c r="AE75" s="786"/>
      <c r="AF75" s="470"/>
      <c r="AG75" s="472"/>
      <c r="AH75" s="472"/>
      <c r="AI75" s="470"/>
      <c r="AJ75" s="472"/>
      <c r="AK75" s="470"/>
      <c r="AL75" s="472"/>
      <c r="AM75" s="470"/>
      <c r="AN75" s="472"/>
      <c r="AO75" s="472"/>
      <c r="AP75" s="470"/>
      <c r="AQ75" s="472"/>
      <c r="AR75" s="470"/>
      <c r="AS75" s="470"/>
      <c r="AT75" s="472"/>
    </row>
    <row r="76" spans="1:46" s="413" customFormat="1">
      <c r="A76" s="929" t="s">
        <v>217</v>
      </c>
      <c r="B76" s="930"/>
      <c r="C76" s="930"/>
      <c r="D76" s="930"/>
      <c r="E76" s="930"/>
      <c r="F76" s="930"/>
      <c r="G76" s="930"/>
      <c r="H76" s="930"/>
      <c r="I76" s="931"/>
      <c r="J76" s="473" t="s">
        <v>156</v>
      </c>
      <c r="K76" s="935" t="s">
        <v>830</v>
      </c>
      <c r="L76" s="935" t="s">
        <v>830</v>
      </c>
      <c r="M76" s="935" t="s">
        <v>830</v>
      </c>
      <c r="N76" s="938" t="s">
        <v>830</v>
      </c>
      <c r="O76" s="938" t="s">
        <v>830</v>
      </c>
      <c r="P76" s="935" t="s">
        <v>830</v>
      </c>
      <c r="Q76" s="935" t="s">
        <v>830</v>
      </c>
      <c r="R76" s="939" t="s">
        <v>830</v>
      </c>
      <c r="S76" s="939" t="s">
        <v>830</v>
      </c>
      <c r="T76" s="939" t="s">
        <v>830</v>
      </c>
      <c r="U76" s="914" t="s">
        <v>830</v>
      </c>
      <c r="V76" s="875" t="s">
        <v>830</v>
      </c>
      <c r="W76" s="875" t="s">
        <v>830</v>
      </c>
      <c r="X76" s="875" t="s">
        <v>830</v>
      </c>
      <c r="Y76" s="875" t="s">
        <v>830</v>
      </c>
      <c r="Z76" s="875" t="s">
        <v>830</v>
      </c>
      <c r="AA76" s="875" t="s">
        <v>830</v>
      </c>
      <c r="AB76" s="875" t="s">
        <v>830</v>
      </c>
      <c r="AC76" s="875" t="s">
        <v>830</v>
      </c>
      <c r="AD76" s="875" t="s">
        <v>830</v>
      </c>
      <c r="AE76" s="934" t="s">
        <v>830</v>
      </c>
      <c r="AF76" s="935" t="s">
        <v>830</v>
      </c>
      <c r="AG76" s="938" t="s">
        <v>830</v>
      </c>
      <c r="AH76" s="938" t="s">
        <v>830</v>
      </c>
      <c r="AI76" s="935" t="s">
        <v>830</v>
      </c>
      <c r="AJ76" s="938" t="s">
        <v>830</v>
      </c>
      <c r="AK76" s="935" t="s">
        <v>830</v>
      </c>
      <c r="AL76" s="938" t="s">
        <v>830</v>
      </c>
      <c r="AM76" s="935" t="s">
        <v>830</v>
      </c>
      <c r="AN76" s="938" t="s">
        <v>830</v>
      </c>
      <c r="AO76" s="938" t="s">
        <v>830</v>
      </c>
      <c r="AP76" s="935" t="s">
        <v>830</v>
      </c>
      <c r="AQ76" s="938" t="s">
        <v>830</v>
      </c>
      <c r="AR76" s="935" t="s">
        <v>830</v>
      </c>
      <c r="AS76" s="935" t="s">
        <v>830</v>
      </c>
      <c r="AT76" s="938" t="s">
        <v>830</v>
      </c>
    </row>
    <row r="77" spans="1:46" s="413" customFormat="1" ht="22.5">
      <c r="A77" s="964" t="s">
        <v>218</v>
      </c>
      <c r="B77" s="965"/>
      <c r="C77" s="965"/>
      <c r="D77" s="965"/>
      <c r="E77" s="965"/>
      <c r="F77" s="965"/>
      <c r="G77" s="965"/>
      <c r="H77" s="965"/>
      <c r="I77" s="1017"/>
      <c r="J77" s="474" t="s">
        <v>219</v>
      </c>
      <c r="K77" s="903"/>
      <c r="L77" s="903"/>
      <c r="M77" s="903"/>
      <c r="N77" s="905"/>
      <c r="O77" s="905"/>
      <c r="P77" s="903"/>
      <c r="Q77" s="903"/>
      <c r="R77" s="910"/>
      <c r="S77" s="910"/>
      <c r="T77" s="910"/>
      <c r="U77" s="915"/>
      <c r="V77" s="876"/>
      <c r="W77" s="876"/>
      <c r="X77" s="876"/>
      <c r="Y77" s="876"/>
      <c r="Z77" s="876"/>
      <c r="AA77" s="876"/>
      <c r="AB77" s="876"/>
      <c r="AC77" s="876"/>
      <c r="AD77" s="876"/>
      <c r="AE77" s="917"/>
      <c r="AF77" s="903"/>
      <c r="AG77" s="905"/>
      <c r="AH77" s="905"/>
      <c r="AI77" s="903"/>
      <c r="AJ77" s="905"/>
      <c r="AK77" s="903"/>
      <c r="AL77" s="905"/>
      <c r="AM77" s="903"/>
      <c r="AN77" s="905"/>
      <c r="AO77" s="905"/>
      <c r="AP77" s="903"/>
      <c r="AQ77" s="905"/>
      <c r="AR77" s="903"/>
      <c r="AS77" s="903"/>
      <c r="AT77" s="905"/>
    </row>
    <row r="78" spans="1:46" s="413" customFormat="1" ht="24.75" customHeight="1">
      <c r="A78" s="475" t="s">
        <v>157</v>
      </c>
      <c r="B78" s="949" t="s">
        <v>866</v>
      </c>
      <c r="C78" s="950"/>
      <c r="D78" s="950"/>
      <c r="E78" s="950"/>
      <c r="F78" s="950"/>
      <c r="G78" s="950"/>
      <c r="H78" s="950"/>
      <c r="I78" s="951"/>
      <c r="J78" s="380">
        <v>30</v>
      </c>
      <c r="K78" s="407">
        <f>ROUND(((K73/30)*$J78)/12,2)</f>
        <v>1939.79</v>
      </c>
      <c r="L78" s="407">
        <f>ROUND(((L73/30)*$J78)/12,2)</f>
        <v>605.1</v>
      </c>
      <c r="M78" s="407">
        <f>ROUND(((M73/30)*$J78)/12,2)</f>
        <v>520.85</v>
      </c>
      <c r="N78" s="408">
        <f t="shared" ref="N78:AR78" si="167">ROUND(((N73/30)*$J78)/12,2)</f>
        <v>520.85</v>
      </c>
      <c r="O78" s="408">
        <f t="shared" si="167"/>
        <v>445.8</v>
      </c>
      <c r="P78" s="407">
        <f t="shared" si="167"/>
        <v>520.85</v>
      </c>
      <c r="Q78" s="407">
        <f t="shared" si="167"/>
        <v>520.85</v>
      </c>
      <c r="R78" s="714">
        <f t="shared" ref="R78:T78" si="168">ROUND(((R73/30)*$J78)/12,2)</f>
        <v>503.08</v>
      </c>
      <c r="S78" s="714">
        <f t="shared" si="168"/>
        <v>551.03</v>
      </c>
      <c r="T78" s="714">
        <f t="shared" si="168"/>
        <v>503.08</v>
      </c>
      <c r="U78" s="714">
        <f t="shared" si="167"/>
        <v>551.03</v>
      </c>
      <c r="V78" s="408">
        <f t="shared" ref="V78:W78" si="169">ROUND(((V73/30)*$J78)/12,2)</f>
        <v>520.85</v>
      </c>
      <c r="W78" s="408">
        <f t="shared" si="169"/>
        <v>520.85</v>
      </c>
      <c r="X78" s="408">
        <f t="shared" ref="X78:Y78" si="170">ROUND(((X73/30)*$J78)/12,2)</f>
        <v>520.85</v>
      </c>
      <c r="Y78" s="408">
        <f t="shared" si="170"/>
        <v>445.8</v>
      </c>
      <c r="Z78" s="408">
        <f t="shared" ref="Z78:AA78" si="171">ROUND(((Z73/30)*$J78)/12,2)</f>
        <v>524.28</v>
      </c>
      <c r="AA78" s="408">
        <f t="shared" si="171"/>
        <v>520.85</v>
      </c>
      <c r="AB78" s="408">
        <f t="shared" ref="AB78:AD78" si="172">ROUND(((AB73/30)*$J78)/12,2)</f>
        <v>420.74</v>
      </c>
      <c r="AC78" s="408">
        <f t="shared" si="172"/>
        <v>363.53</v>
      </c>
      <c r="AD78" s="408">
        <f t="shared" si="172"/>
        <v>513.82000000000005</v>
      </c>
      <c r="AE78" s="407">
        <f t="shared" si="167"/>
        <v>511.62</v>
      </c>
      <c r="AF78" s="407">
        <f t="shared" si="167"/>
        <v>512.36</v>
      </c>
      <c r="AG78" s="408">
        <f t="shared" si="167"/>
        <v>515.66</v>
      </c>
      <c r="AH78" s="408">
        <f t="shared" si="167"/>
        <v>515.66</v>
      </c>
      <c r="AI78" s="407">
        <f t="shared" si="167"/>
        <v>510.52</v>
      </c>
      <c r="AJ78" s="408">
        <f t="shared" si="167"/>
        <v>515.29</v>
      </c>
      <c r="AK78" s="407">
        <f t="shared" si="167"/>
        <v>515.11</v>
      </c>
      <c r="AL78" s="408">
        <f t="shared" si="167"/>
        <v>515.66</v>
      </c>
      <c r="AM78" s="407">
        <f t="shared" si="167"/>
        <v>512.36</v>
      </c>
      <c r="AN78" s="408">
        <f t="shared" si="167"/>
        <v>516.02</v>
      </c>
      <c r="AO78" s="408">
        <f t="shared" ref="AO78" si="173">ROUND(((AO73/30)*$J78)/12,2)</f>
        <v>517.86</v>
      </c>
      <c r="AP78" s="407">
        <f t="shared" si="167"/>
        <v>513.09</v>
      </c>
      <c r="AQ78" s="408">
        <f t="shared" ref="AQ78" si="174">ROUND(((AQ73/30)*$J78)/12,2)</f>
        <v>515.66</v>
      </c>
      <c r="AR78" s="407">
        <f t="shared" si="167"/>
        <v>510.52</v>
      </c>
      <c r="AS78" s="407">
        <f>ROUND(((AS73/30)*$J78)/12,2)</f>
        <v>513.27</v>
      </c>
      <c r="AT78" s="408">
        <f>ROUND(((AT73/30)*$J78)/12,2)</f>
        <v>513.27</v>
      </c>
    </row>
    <row r="79" spans="1:46" s="413" customFormat="1" ht="56.25" customHeight="1">
      <c r="A79" s="392" t="s">
        <v>159</v>
      </c>
      <c r="B79" s="949" t="s">
        <v>867</v>
      </c>
      <c r="C79" s="950"/>
      <c r="D79" s="950"/>
      <c r="E79" s="950"/>
      <c r="F79" s="950"/>
      <c r="G79" s="950"/>
      <c r="H79" s="950"/>
      <c r="I79" s="951"/>
      <c r="J79" s="653">
        <f>'Dados - Composição PCFP'!$G$107</f>
        <v>8.5149000000000008</v>
      </c>
      <c r="K79" s="407">
        <f>ROUND(((K73/22)*$J79)/12,2)</f>
        <v>750.78</v>
      </c>
      <c r="L79" s="407">
        <f t="shared" ref="L79:AR79" si="175">ROUND(((L73/22)*$J79)/12,2)</f>
        <v>234.2</v>
      </c>
      <c r="M79" s="407">
        <f t="shared" si="175"/>
        <v>201.59</v>
      </c>
      <c r="N79" s="408">
        <f t="shared" si="175"/>
        <v>201.59</v>
      </c>
      <c r="O79" s="408">
        <f t="shared" si="175"/>
        <v>172.54</v>
      </c>
      <c r="P79" s="407">
        <f t="shared" si="175"/>
        <v>201.59</v>
      </c>
      <c r="Q79" s="407">
        <f t="shared" si="175"/>
        <v>201.59</v>
      </c>
      <c r="R79" s="714">
        <f t="shared" ref="R79:T79" si="176">ROUND(((R73/22)*$J79)/12,2)</f>
        <v>194.71</v>
      </c>
      <c r="S79" s="714">
        <f t="shared" si="176"/>
        <v>213.27</v>
      </c>
      <c r="T79" s="714">
        <f t="shared" si="176"/>
        <v>194.71</v>
      </c>
      <c r="U79" s="714">
        <f t="shared" si="175"/>
        <v>213.27</v>
      </c>
      <c r="V79" s="408">
        <f t="shared" ref="V79:W79" si="177">ROUND(((V73/22)*$J79)/12,2)</f>
        <v>201.59</v>
      </c>
      <c r="W79" s="408">
        <f t="shared" si="177"/>
        <v>201.59</v>
      </c>
      <c r="X79" s="408">
        <f t="shared" ref="X79:Y79" si="178">ROUND(((X73/22)*$J79)/12,2)</f>
        <v>201.59</v>
      </c>
      <c r="Y79" s="408">
        <f t="shared" si="178"/>
        <v>172.54</v>
      </c>
      <c r="Z79" s="408">
        <f t="shared" ref="Z79:AA79" si="179">ROUND(((Z73/22)*$J79)/12,2)</f>
        <v>202.92</v>
      </c>
      <c r="AA79" s="408">
        <f t="shared" si="179"/>
        <v>201.59</v>
      </c>
      <c r="AB79" s="408">
        <f t="shared" ref="AB79:AD79" si="180">ROUND(((AB73/22)*$J79)/12,2)</f>
        <v>162.85</v>
      </c>
      <c r="AC79" s="408">
        <f t="shared" si="180"/>
        <v>140.69999999999999</v>
      </c>
      <c r="AD79" s="408">
        <f t="shared" si="180"/>
        <v>198.87</v>
      </c>
      <c r="AE79" s="407">
        <f t="shared" si="175"/>
        <v>198.02</v>
      </c>
      <c r="AF79" s="407">
        <f t="shared" si="175"/>
        <v>198.3</v>
      </c>
      <c r="AG79" s="408">
        <f t="shared" si="175"/>
        <v>199.58</v>
      </c>
      <c r="AH79" s="408">
        <f t="shared" si="175"/>
        <v>199.58</v>
      </c>
      <c r="AI79" s="407">
        <f t="shared" si="175"/>
        <v>197.59</v>
      </c>
      <c r="AJ79" s="408">
        <f t="shared" si="175"/>
        <v>199.44</v>
      </c>
      <c r="AK79" s="407">
        <f t="shared" si="175"/>
        <v>199.37</v>
      </c>
      <c r="AL79" s="408">
        <f t="shared" si="175"/>
        <v>199.58</v>
      </c>
      <c r="AM79" s="407">
        <f t="shared" si="175"/>
        <v>198.3</v>
      </c>
      <c r="AN79" s="408">
        <f t="shared" si="175"/>
        <v>199.72</v>
      </c>
      <c r="AO79" s="408">
        <f t="shared" ref="AO79" si="181">ROUND(((AO73/22)*$J79)/12,2)</f>
        <v>200.43</v>
      </c>
      <c r="AP79" s="407">
        <f t="shared" si="175"/>
        <v>198.59</v>
      </c>
      <c r="AQ79" s="408">
        <f t="shared" ref="AQ79" si="182">ROUND(((AQ73/22)*$J79)/12,2)</f>
        <v>199.58</v>
      </c>
      <c r="AR79" s="407">
        <f t="shared" si="175"/>
        <v>197.59</v>
      </c>
      <c r="AS79" s="407">
        <f>ROUND(((AS73/22)*$J79)/12,2)</f>
        <v>198.66</v>
      </c>
      <c r="AT79" s="408">
        <f>ROUND(((AT73/22)*$J79)/12,2)</f>
        <v>198.66</v>
      </c>
    </row>
    <row r="80" spans="1:46" s="413" customFormat="1" ht="12" customHeight="1">
      <c r="A80" s="974" t="s">
        <v>175</v>
      </c>
      <c r="B80" s="975"/>
      <c r="C80" s="975"/>
      <c r="D80" s="975"/>
      <c r="E80" s="975"/>
      <c r="F80" s="975"/>
      <c r="G80" s="975"/>
      <c r="H80" s="975"/>
      <c r="I80" s="976"/>
      <c r="J80" s="476">
        <f t="shared" ref="J80:AR80" si="183">SUM(J78:J79)</f>
        <v>38.514899999999997</v>
      </c>
      <c r="K80" s="420">
        <f t="shared" si="183"/>
        <v>2690.5699999999997</v>
      </c>
      <c r="L80" s="420">
        <f t="shared" si="183"/>
        <v>839.3</v>
      </c>
      <c r="M80" s="420">
        <f t="shared" si="183"/>
        <v>722.44</v>
      </c>
      <c r="N80" s="412">
        <f t="shared" si="183"/>
        <v>722.44</v>
      </c>
      <c r="O80" s="412">
        <f t="shared" si="183"/>
        <v>618.34</v>
      </c>
      <c r="P80" s="420">
        <f t="shared" si="183"/>
        <v>722.44</v>
      </c>
      <c r="Q80" s="420">
        <f t="shared" si="183"/>
        <v>722.44</v>
      </c>
      <c r="R80" s="715">
        <f t="shared" ref="R80:T80" si="184">SUM(R78:R79)</f>
        <v>697.79</v>
      </c>
      <c r="S80" s="715">
        <f t="shared" si="184"/>
        <v>764.3</v>
      </c>
      <c r="T80" s="715">
        <f t="shared" si="184"/>
        <v>697.79</v>
      </c>
      <c r="U80" s="715">
        <f t="shared" si="183"/>
        <v>764.3</v>
      </c>
      <c r="V80" s="412">
        <f t="shared" ref="V80:W80" si="185">SUM(V78:V79)</f>
        <v>722.44</v>
      </c>
      <c r="W80" s="412">
        <f t="shared" si="185"/>
        <v>722.44</v>
      </c>
      <c r="X80" s="412">
        <f t="shared" ref="X80:Y80" si="186">SUM(X78:X79)</f>
        <v>722.44</v>
      </c>
      <c r="Y80" s="412">
        <f t="shared" si="186"/>
        <v>618.34</v>
      </c>
      <c r="Z80" s="412">
        <f t="shared" ref="Z80:AA80" si="187">SUM(Z78:Z79)</f>
        <v>727.19999999999993</v>
      </c>
      <c r="AA80" s="412">
        <f t="shared" si="187"/>
        <v>722.44</v>
      </c>
      <c r="AB80" s="412">
        <f t="shared" ref="AB80:AD80" si="188">SUM(AB78:AB79)</f>
        <v>583.59</v>
      </c>
      <c r="AC80" s="412">
        <f t="shared" si="188"/>
        <v>504.22999999999996</v>
      </c>
      <c r="AD80" s="412">
        <f t="shared" si="188"/>
        <v>712.69</v>
      </c>
      <c r="AE80" s="420">
        <f t="shared" si="183"/>
        <v>709.64</v>
      </c>
      <c r="AF80" s="420">
        <f t="shared" si="183"/>
        <v>710.66000000000008</v>
      </c>
      <c r="AG80" s="412">
        <f t="shared" si="183"/>
        <v>715.24</v>
      </c>
      <c r="AH80" s="412">
        <f t="shared" si="183"/>
        <v>715.24</v>
      </c>
      <c r="AI80" s="420">
        <f t="shared" si="183"/>
        <v>708.11</v>
      </c>
      <c r="AJ80" s="412">
        <f t="shared" si="183"/>
        <v>714.73</v>
      </c>
      <c r="AK80" s="420">
        <f t="shared" si="183"/>
        <v>714.48</v>
      </c>
      <c r="AL80" s="412">
        <f t="shared" si="183"/>
        <v>715.24</v>
      </c>
      <c r="AM80" s="420">
        <f t="shared" si="183"/>
        <v>710.66000000000008</v>
      </c>
      <c r="AN80" s="412">
        <f t="shared" si="183"/>
        <v>715.74</v>
      </c>
      <c r="AO80" s="412">
        <f t="shared" ref="AO80" si="189">SUM(AO78:AO79)</f>
        <v>718.29</v>
      </c>
      <c r="AP80" s="420">
        <f t="shared" si="183"/>
        <v>711.68000000000006</v>
      </c>
      <c r="AQ80" s="412">
        <f t="shared" ref="AQ80" si="190">SUM(AQ78:AQ79)</f>
        <v>715.24</v>
      </c>
      <c r="AR80" s="420">
        <f t="shared" si="183"/>
        <v>708.11</v>
      </c>
      <c r="AS80" s="420">
        <f>SUM(AS78:AS79)</f>
        <v>711.93</v>
      </c>
      <c r="AT80" s="412">
        <f>SUM(AT78:AT79)</f>
        <v>711.93</v>
      </c>
    </row>
    <row r="81" spans="1:46" s="413" customFormat="1">
      <c r="K81" s="477"/>
      <c r="L81" s="414"/>
      <c r="M81" s="414"/>
      <c r="P81" s="414"/>
      <c r="Q81" s="414"/>
      <c r="R81" s="585"/>
      <c r="S81" s="585"/>
      <c r="T81" s="585"/>
      <c r="U81" s="585"/>
      <c r="AE81" s="477"/>
      <c r="AF81" s="414"/>
      <c r="AI81" s="414"/>
      <c r="AK81" s="414"/>
      <c r="AM81" s="414"/>
      <c r="AP81" s="414"/>
      <c r="AR81" s="414"/>
      <c r="AS81" s="414"/>
    </row>
    <row r="82" spans="1:46" s="413" customFormat="1">
      <c r="A82" s="929" t="s">
        <v>868</v>
      </c>
      <c r="B82" s="930"/>
      <c r="C82" s="930"/>
      <c r="D82" s="930"/>
      <c r="E82" s="930"/>
      <c r="F82" s="930"/>
      <c r="G82" s="930"/>
      <c r="H82" s="930"/>
      <c r="I82" s="931"/>
      <c r="J82" s="473" t="s">
        <v>156</v>
      </c>
      <c r="K82" s="902" t="s">
        <v>830</v>
      </c>
      <c r="L82" s="902" t="s">
        <v>830</v>
      </c>
      <c r="M82" s="902" t="s">
        <v>830</v>
      </c>
      <c r="N82" s="875" t="s">
        <v>830</v>
      </c>
      <c r="O82" s="875" t="s">
        <v>830</v>
      </c>
      <c r="P82" s="902" t="s">
        <v>830</v>
      </c>
      <c r="Q82" s="902" t="s">
        <v>830</v>
      </c>
      <c r="R82" s="914" t="s">
        <v>830</v>
      </c>
      <c r="S82" s="914" t="s">
        <v>830</v>
      </c>
      <c r="T82" s="914" t="s">
        <v>830</v>
      </c>
      <c r="U82" s="914" t="s">
        <v>830</v>
      </c>
      <c r="V82" s="875" t="s">
        <v>830</v>
      </c>
      <c r="W82" s="875" t="s">
        <v>830</v>
      </c>
      <c r="X82" s="875" t="s">
        <v>830</v>
      </c>
      <c r="Y82" s="875" t="s">
        <v>830</v>
      </c>
      <c r="Z82" s="875" t="s">
        <v>830</v>
      </c>
      <c r="AA82" s="875" t="s">
        <v>830</v>
      </c>
      <c r="AB82" s="875" t="s">
        <v>830</v>
      </c>
      <c r="AC82" s="875" t="s">
        <v>830</v>
      </c>
      <c r="AD82" s="875" t="s">
        <v>830</v>
      </c>
      <c r="AE82" s="916" t="s">
        <v>830</v>
      </c>
      <c r="AF82" s="902" t="s">
        <v>830</v>
      </c>
      <c r="AG82" s="875" t="s">
        <v>830</v>
      </c>
      <c r="AH82" s="875" t="s">
        <v>830</v>
      </c>
      <c r="AI82" s="902" t="s">
        <v>830</v>
      </c>
      <c r="AJ82" s="875" t="s">
        <v>830</v>
      </c>
      <c r="AK82" s="902" t="s">
        <v>830</v>
      </c>
      <c r="AL82" s="875" t="s">
        <v>830</v>
      </c>
      <c r="AM82" s="902" t="s">
        <v>830</v>
      </c>
      <c r="AN82" s="875" t="s">
        <v>830</v>
      </c>
      <c r="AO82" s="875" t="s">
        <v>830</v>
      </c>
      <c r="AP82" s="902" t="s">
        <v>830</v>
      </c>
      <c r="AQ82" s="875" t="s">
        <v>830</v>
      </c>
      <c r="AR82" s="902" t="s">
        <v>830</v>
      </c>
      <c r="AS82" s="902" t="s">
        <v>830</v>
      </c>
      <c r="AT82" s="875" t="s">
        <v>830</v>
      </c>
    </row>
    <row r="83" spans="1:46" s="413" customFormat="1">
      <c r="A83" s="964" t="s">
        <v>869</v>
      </c>
      <c r="B83" s="965"/>
      <c r="C83" s="965"/>
      <c r="D83" s="965"/>
      <c r="E83" s="965"/>
      <c r="F83" s="965"/>
      <c r="G83" s="965"/>
      <c r="H83" s="965"/>
      <c r="I83" s="965"/>
      <c r="J83" s="425"/>
      <c r="K83" s="903"/>
      <c r="L83" s="903"/>
      <c r="M83" s="903"/>
      <c r="N83" s="876"/>
      <c r="O83" s="876"/>
      <c r="P83" s="903"/>
      <c r="Q83" s="903"/>
      <c r="R83" s="915"/>
      <c r="S83" s="915"/>
      <c r="T83" s="915"/>
      <c r="U83" s="915"/>
      <c r="V83" s="876"/>
      <c r="W83" s="876"/>
      <c r="X83" s="876"/>
      <c r="Y83" s="876"/>
      <c r="Z83" s="876"/>
      <c r="AA83" s="876"/>
      <c r="AB83" s="876"/>
      <c r="AC83" s="876"/>
      <c r="AD83" s="876"/>
      <c r="AE83" s="917"/>
      <c r="AF83" s="903"/>
      <c r="AG83" s="876"/>
      <c r="AH83" s="876"/>
      <c r="AI83" s="903"/>
      <c r="AJ83" s="876"/>
      <c r="AK83" s="903"/>
      <c r="AL83" s="876"/>
      <c r="AM83" s="903"/>
      <c r="AN83" s="876"/>
      <c r="AO83" s="876"/>
      <c r="AP83" s="903"/>
      <c r="AQ83" s="876"/>
      <c r="AR83" s="903"/>
      <c r="AS83" s="903"/>
      <c r="AT83" s="876"/>
    </row>
    <row r="84" spans="1:46" s="413" customFormat="1">
      <c r="A84" s="475" t="s">
        <v>157</v>
      </c>
      <c r="B84" s="936" t="s">
        <v>870</v>
      </c>
      <c r="C84" s="937"/>
      <c r="D84" s="937"/>
      <c r="E84" s="937"/>
      <c r="F84" s="937"/>
      <c r="G84" s="937"/>
      <c r="H84" s="937"/>
      <c r="I84" s="972"/>
      <c r="J84" s="379">
        <v>0</v>
      </c>
      <c r="K84" s="407">
        <v>0</v>
      </c>
      <c r="L84" s="407">
        <v>0</v>
      </c>
      <c r="M84" s="407">
        <v>0</v>
      </c>
      <c r="N84" s="556">
        <v>0</v>
      </c>
      <c r="O84" s="556">
        <v>0</v>
      </c>
      <c r="P84" s="558">
        <v>0</v>
      </c>
      <c r="Q84" s="558">
        <v>0</v>
      </c>
      <c r="R84" s="722">
        <v>0</v>
      </c>
      <c r="S84" s="722">
        <v>0</v>
      </c>
      <c r="T84" s="722">
        <v>0</v>
      </c>
      <c r="U84" s="722">
        <v>0</v>
      </c>
      <c r="V84" s="556">
        <v>0</v>
      </c>
      <c r="W84" s="556">
        <v>0</v>
      </c>
      <c r="X84" s="556">
        <v>0</v>
      </c>
      <c r="Y84" s="556">
        <v>0</v>
      </c>
      <c r="Z84" s="556">
        <v>0</v>
      </c>
      <c r="AA84" s="556">
        <v>0</v>
      </c>
      <c r="AB84" s="556">
        <v>0</v>
      </c>
      <c r="AC84" s="556">
        <v>0</v>
      </c>
      <c r="AD84" s="556">
        <v>0</v>
      </c>
      <c r="AE84" s="558">
        <v>0</v>
      </c>
      <c r="AF84" s="558">
        <v>0</v>
      </c>
      <c r="AG84" s="556">
        <v>0</v>
      </c>
      <c r="AH84" s="556">
        <v>0</v>
      </c>
      <c r="AI84" s="558">
        <v>0</v>
      </c>
      <c r="AJ84" s="556">
        <v>0</v>
      </c>
      <c r="AK84" s="558">
        <v>0</v>
      </c>
      <c r="AL84" s="556">
        <v>0</v>
      </c>
      <c r="AM84" s="558">
        <v>0</v>
      </c>
      <c r="AN84" s="556">
        <v>0</v>
      </c>
      <c r="AO84" s="556">
        <v>0</v>
      </c>
      <c r="AP84" s="558">
        <v>0</v>
      </c>
      <c r="AQ84" s="556">
        <v>0</v>
      </c>
      <c r="AR84" s="558">
        <v>0</v>
      </c>
      <c r="AS84" s="558">
        <v>0</v>
      </c>
      <c r="AT84" s="556">
        <v>0</v>
      </c>
    </row>
    <row r="85" spans="1:46" s="413" customFormat="1">
      <c r="K85" s="414"/>
      <c r="L85" s="414"/>
      <c r="M85" s="414"/>
      <c r="P85" s="414"/>
      <c r="Q85" s="414"/>
      <c r="R85" s="585"/>
      <c r="S85" s="585"/>
      <c r="T85" s="585"/>
      <c r="U85" s="585"/>
      <c r="AE85" s="477"/>
      <c r="AF85" s="414"/>
      <c r="AI85" s="414"/>
      <c r="AK85" s="414"/>
      <c r="AM85" s="414"/>
      <c r="AP85" s="414"/>
      <c r="AR85" s="414"/>
      <c r="AS85" s="414"/>
    </row>
    <row r="86" spans="1:46" s="413" customFormat="1">
      <c r="A86" s="929" t="s">
        <v>871</v>
      </c>
      <c r="B86" s="930"/>
      <c r="C86" s="930"/>
      <c r="D86" s="930"/>
      <c r="E86" s="930"/>
      <c r="F86" s="930"/>
      <c r="G86" s="930"/>
      <c r="H86" s="930"/>
      <c r="I86" s="930"/>
      <c r="J86" s="478"/>
      <c r="K86" s="902" t="s">
        <v>830</v>
      </c>
      <c r="L86" s="902" t="s">
        <v>830</v>
      </c>
      <c r="M86" s="902" t="s">
        <v>830</v>
      </c>
      <c r="N86" s="875" t="s">
        <v>830</v>
      </c>
      <c r="O86" s="875" t="s">
        <v>830</v>
      </c>
      <c r="P86" s="902" t="s">
        <v>830</v>
      </c>
      <c r="Q86" s="902" t="s">
        <v>830</v>
      </c>
      <c r="R86" s="914" t="s">
        <v>830</v>
      </c>
      <c r="S86" s="914" t="s">
        <v>830</v>
      </c>
      <c r="T86" s="914" t="s">
        <v>830</v>
      </c>
      <c r="U86" s="914" t="s">
        <v>830</v>
      </c>
      <c r="V86" s="875" t="s">
        <v>830</v>
      </c>
      <c r="W86" s="875" t="s">
        <v>830</v>
      </c>
      <c r="X86" s="875" t="s">
        <v>830</v>
      </c>
      <c r="Y86" s="875" t="s">
        <v>830</v>
      </c>
      <c r="Z86" s="875" t="s">
        <v>830</v>
      </c>
      <c r="AA86" s="875" t="s">
        <v>830</v>
      </c>
      <c r="AB86" s="875" t="s">
        <v>830</v>
      </c>
      <c r="AC86" s="875" t="s">
        <v>830</v>
      </c>
      <c r="AD86" s="875" t="s">
        <v>830</v>
      </c>
      <c r="AE86" s="916" t="s">
        <v>830</v>
      </c>
      <c r="AF86" s="902" t="s">
        <v>830</v>
      </c>
      <c r="AG86" s="875" t="s">
        <v>830</v>
      </c>
      <c r="AH86" s="875" t="s">
        <v>830</v>
      </c>
      <c r="AI86" s="902" t="s">
        <v>830</v>
      </c>
      <c r="AJ86" s="875" t="s">
        <v>830</v>
      </c>
      <c r="AK86" s="902" t="s">
        <v>830</v>
      </c>
      <c r="AL86" s="875" t="s">
        <v>830</v>
      </c>
      <c r="AM86" s="902" t="s">
        <v>830</v>
      </c>
      <c r="AN86" s="875" t="s">
        <v>830</v>
      </c>
      <c r="AO86" s="875" t="s">
        <v>830</v>
      </c>
      <c r="AP86" s="902" t="s">
        <v>830</v>
      </c>
      <c r="AQ86" s="875" t="s">
        <v>830</v>
      </c>
      <c r="AR86" s="902" t="s">
        <v>830</v>
      </c>
      <c r="AS86" s="902" t="s">
        <v>830</v>
      </c>
      <c r="AT86" s="875" t="s">
        <v>830</v>
      </c>
    </row>
    <row r="87" spans="1:46" s="413" customFormat="1">
      <c r="A87" s="911" t="s">
        <v>872</v>
      </c>
      <c r="B87" s="912"/>
      <c r="C87" s="912"/>
      <c r="D87" s="912"/>
      <c r="E87" s="912"/>
      <c r="F87" s="912"/>
      <c r="G87" s="912"/>
      <c r="H87" s="912"/>
      <c r="I87" s="912"/>
      <c r="J87" s="425"/>
      <c r="K87" s="903"/>
      <c r="L87" s="903"/>
      <c r="M87" s="903"/>
      <c r="N87" s="876"/>
      <c r="O87" s="876"/>
      <c r="P87" s="903"/>
      <c r="Q87" s="903"/>
      <c r="R87" s="915"/>
      <c r="S87" s="915"/>
      <c r="T87" s="915"/>
      <c r="U87" s="915"/>
      <c r="V87" s="876"/>
      <c r="W87" s="876"/>
      <c r="X87" s="876"/>
      <c r="Y87" s="876"/>
      <c r="Z87" s="876"/>
      <c r="AA87" s="876"/>
      <c r="AB87" s="876"/>
      <c r="AC87" s="876"/>
      <c r="AD87" s="876"/>
      <c r="AE87" s="917"/>
      <c r="AF87" s="903"/>
      <c r="AG87" s="876"/>
      <c r="AH87" s="876"/>
      <c r="AI87" s="903"/>
      <c r="AJ87" s="876"/>
      <c r="AK87" s="903"/>
      <c r="AL87" s="876"/>
      <c r="AM87" s="903"/>
      <c r="AN87" s="876"/>
      <c r="AO87" s="876"/>
      <c r="AP87" s="903"/>
      <c r="AQ87" s="876"/>
      <c r="AR87" s="903"/>
      <c r="AS87" s="903"/>
      <c r="AT87" s="876"/>
    </row>
    <row r="88" spans="1:46" s="413" customFormat="1">
      <c r="A88" s="911" t="s">
        <v>218</v>
      </c>
      <c r="B88" s="912"/>
      <c r="C88" s="912"/>
      <c r="D88" s="912"/>
      <c r="E88" s="912"/>
      <c r="F88" s="912"/>
      <c r="G88" s="912"/>
      <c r="H88" s="912"/>
      <c r="I88" s="912"/>
      <c r="J88" s="479"/>
      <c r="K88" s="444">
        <f t="shared" ref="K88:AR88" si="191">K80</f>
        <v>2690.5699999999997</v>
      </c>
      <c r="L88" s="444">
        <f t="shared" si="191"/>
        <v>839.3</v>
      </c>
      <c r="M88" s="444">
        <f t="shared" si="191"/>
        <v>722.44</v>
      </c>
      <c r="N88" s="556">
        <f t="shared" si="191"/>
        <v>722.44</v>
      </c>
      <c r="O88" s="556">
        <f t="shared" si="191"/>
        <v>618.34</v>
      </c>
      <c r="P88" s="480">
        <f t="shared" si="191"/>
        <v>722.44</v>
      </c>
      <c r="Q88" s="480">
        <f t="shared" si="191"/>
        <v>722.44</v>
      </c>
      <c r="R88" s="722">
        <f t="shared" ref="R88:T88" si="192">R80</f>
        <v>697.79</v>
      </c>
      <c r="S88" s="722">
        <f t="shared" si="192"/>
        <v>764.3</v>
      </c>
      <c r="T88" s="722">
        <f t="shared" si="192"/>
        <v>697.79</v>
      </c>
      <c r="U88" s="722">
        <f t="shared" si="191"/>
        <v>764.3</v>
      </c>
      <c r="V88" s="556">
        <f t="shared" ref="V88:W88" si="193">V80</f>
        <v>722.44</v>
      </c>
      <c r="W88" s="556">
        <f t="shared" si="193"/>
        <v>722.44</v>
      </c>
      <c r="X88" s="556">
        <f t="shared" ref="X88:Y88" si="194">X80</f>
        <v>722.44</v>
      </c>
      <c r="Y88" s="556">
        <f t="shared" si="194"/>
        <v>618.34</v>
      </c>
      <c r="Z88" s="556">
        <f t="shared" ref="Z88:AA88" si="195">Z80</f>
        <v>727.19999999999993</v>
      </c>
      <c r="AA88" s="556">
        <f t="shared" si="195"/>
        <v>722.44</v>
      </c>
      <c r="AB88" s="556">
        <f t="shared" ref="AB88:AD88" si="196">AB80</f>
        <v>583.59</v>
      </c>
      <c r="AC88" s="556">
        <f t="shared" si="196"/>
        <v>504.22999999999996</v>
      </c>
      <c r="AD88" s="556">
        <f t="shared" si="196"/>
        <v>712.69</v>
      </c>
      <c r="AE88" s="480">
        <f t="shared" si="191"/>
        <v>709.64</v>
      </c>
      <c r="AF88" s="480">
        <f t="shared" si="191"/>
        <v>710.66000000000008</v>
      </c>
      <c r="AG88" s="556">
        <f t="shared" si="191"/>
        <v>715.24</v>
      </c>
      <c r="AH88" s="556">
        <f t="shared" si="191"/>
        <v>715.24</v>
      </c>
      <c r="AI88" s="480">
        <f t="shared" si="191"/>
        <v>708.11</v>
      </c>
      <c r="AJ88" s="556">
        <f t="shared" si="191"/>
        <v>714.73</v>
      </c>
      <c r="AK88" s="480">
        <f t="shared" si="191"/>
        <v>714.48</v>
      </c>
      <c r="AL88" s="556">
        <f t="shared" si="191"/>
        <v>715.24</v>
      </c>
      <c r="AM88" s="480">
        <f t="shared" si="191"/>
        <v>710.66000000000008</v>
      </c>
      <c r="AN88" s="556">
        <f t="shared" si="191"/>
        <v>715.74</v>
      </c>
      <c r="AO88" s="556">
        <f t="shared" ref="AO88" si="197">AO80</f>
        <v>718.29</v>
      </c>
      <c r="AP88" s="480">
        <f t="shared" si="191"/>
        <v>711.68000000000006</v>
      </c>
      <c r="AQ88" s="556">
        <f t="shared" ref="AQ88" si="198">AQ80</f>
        <v>715.24</v>
      </c>
      <c r="AR88" s="480">
        <f t="shared" si="191"/>
        <v>708.11</v>
      </c>
      <c r="AS88" s="480">
        <f>AS80</f>
        <v>711.93</v>
      </c>
      <c r="AT88" s="556">
        <f>AT80</f>
        <v>711.93</v>
      </c>
    </row>
    <row r="89" spans="1:46" s="413" customFormat="1">
      <c r="A89" s="911" t="s">
        <v>869</v>
      </c>
      <c r="B89" s="912"/>
      <c r="C89" s="912"/>
      <c r="D89" s="912"/>
      <c r="E89" s="912"/>
      <c r="F89" s="912"/>
      <c r="G89" s="912"/>
      <c r="H89" s="912"/>
      <c r="I89" s="912"/>
      <c r="J89" s="481"/>
      <c r="K89" s="444">
        <f t="shared" ref="K89:AR89" si="199">K84</f>
        <v>0</v>
      </c>
      <c r="L89" s="444">
        <f t="shared" si="199"/>
        <v>0</v>
      </c>
      <c r="M89" s="444">
        <f t="shared" si="199"/>
        <v>0</v>
      </c>
      <c r="N89" s="556">
        <f t="shared" si="199"/>
        <v>0</v>
      </c>
      <c r="O89" s="556">
        <f t="shared" si="199"/>
        <v>0</v>
      </c>
      <c r="P89" s="480">
        <f t="shared" si="199"/>
        <v>0</v>
      </c>
      <c r="Q89" s="480">
        <f t="shared" si="199"/>
        <v>0</v>
      </c>
      <c r="R89" s="722">
        <f t="shared" ref="R89:T89" si="200">R84</f>
        <v>0</v>
      </c>
      <c r="S89" s="722">
        <f t="shared" si="200"/>
        <v>0</v>
      </c>
      <c r="T89" s="722">
        <f t="shared" si="200"/>
        <v>0</v>
      </c>
      <c r="U89" s="722">
        <f t="shared" si="199"/>
        <v>0</v>
      </c>
      <c r="V89" s="556">
        <f t="shared" ref="V89:W89" si="201">V84</f>
        <v>0</v>
      </c>
      <c r="W89" s="556">
        <f t="shared" si="201"/>
        <v>0</v>
      </c>
      <c r="X89" s="556">
        <f t="shared" ref="X89:Y89" si="202">X84</f>
        <v>0</v>
      </c>
      <c r="Y89" s="556">
        <f t="shared" si="202"/>
        <v>0</v>
      </c>
      <c r="Z89" s="556">
        <f t="shared" ref="Z89:AA89" si="203">Z84</f>
        <v>0</v>
      </c>
      <c r="AA89" s="556">
        <f t="shared" si="203"/>
        <v>0</v>
      </c>
      <c r="AB89" s="556">
        <f t="shared" ref="AB89:AD89" si="204">AB84</f>
        <v>0</v>
      </c>
      <c r="AC89" s="556">
        <f t="shared" si="204"/>
        <v>0</v>
      </c>
      <c r="AD89" s="556">
        <f t="shared" si="204"/>
        <v>0</v>
      </c>
      <c r="AE89" s="480">
        <f t="shared" si="199"/>
        <v>0</v>
      </c>
      <c r="AF89" s="480">
        <f t="shared" si="199"/>
        <v>0</v>
      </c>
      <c r="AG89" s="556">
        <f t="shared" si="199"/>
        <v>0</v>
      </c>
      <c r="AH89" s="556">
        <f t="shared" si="199"/>
        <v>0</v>
      </c>
      <c r="AI89" s="480">
        <f t="shared" si="199"/>
        <v>0</v>
      </c>
      <c r="AJ89" s="556">
        <f t="shared" si="199"/>
        <v>0</v>
      </c>
      <c r="AK89" s="480">
        <f t="shared" si="199"/>
        <v>0</v>
      </c>
      <c r="AL89" s="556">
        <f t="shared" si="199"/>
        <v>0</v>
      </c>
      <c r="AM89" s="480">
        <f t="shared" si="199"/>
        <v>0</v>
      </c>
      <c r="AN89" s="556">
        <f t="shared" si="199"/>
        <v>0</v>
      </c>
      <c r="AO89" s="556">
        <f t="shared" ref="AO89" si="205">AO84</f>
        <v>0</v>
      </c>
      <c r="AP89" s="480">
        <f t="shared" si="199"/>
        <v>0</v>
      </c>
      <c r="AQ89" s="556">
        <f t="shared" ref="AQ89" si="206">AQ84</f>
        <v>0</v>
      </c>
      <c r="AR89" s="480">
        <f t="shared" si="199"/>
        <v>0</v>
      </c>
      <c r="AS89" s="480">
        <f>AS84</f>
        <v>0</v>
      </c>
      <c r="AT89" s="556">
        <f>AT84</f>
        <v>0</v>
      </c>
    </row>
    <row r="90" spans="1:46" s="413" customFormat="1">
      <c r="A90" s="977" t="s">
        <v>175</v>
      </c>
      <c r="B90" s="978"/>
      <c r="C90" s="978"/>
      <c r="D90" s="978"/>
      <c r="E90" s="978"/>
      <c r="F90" s="978"/>
      <c r="G90" s="978"/>
      <c r="H90" s="978"/>
      <c r="I90" s="978"/>
      <c r="J90" s="482"/>
      <c r="K90" s="420">
        <f t="shared" ref="K90:AR90" si="207">SUM(K88:K89)</f>
        <v>2690.5699999999997</v>
      </c>
      <c r="L90" s="420">
        <f t="shared" si="207"/>
        <v>839.3</v>
      </c>
      <c r="M90" s="420">
        <f t="shared" si="207"/>
        <v>722.44</v>
      </c>
      <c r="N90" s="412">
        <f t="shared" si="207"/>
        <v>722.44</v>
      </c>
      <c r="O90" s="412">
        <f t="shared" si="207"/>
        <v>618.34</v>
      </c>
      <c r="P90" s="420">
        <f t="shared" si="207"/>
        <v>722.44</v>
      </c>
      <c r="Q90" s="420">
        <f t="shared" si="207"/>
        <v>722.44</v>
      </c>
      <c r="R90" s="715">
        <f t="shared" ref="R90:T90" si="208">SUM(R88:R89)</f>
        <v>697.79</v>
      </c>
      <c r="S90" s="715">
        <f t="shared" si="208"/>
        <v>764.3</v>
      </c>
      <c r="T90" s="715">
        <f t="shared" si="208"/>
        <v>697.79</v>
      </c>
      <c r="U90" s="715">
        <f t="shared" si="207"/>
        <v>764.3</v>
      </c>
      <c r="V90" s="412">
        <f t="shared" ref="V90:W90" si="209">SUM(V88:V89)</f>
        <v>722.44</v>
      </c>
      <c r="W90" s="412">
        <f t="shared" si="209"/>
        <v>722.44</v>
      </c>
      <c r="X90" s="412">
        <f t="shared" ref="X90:Y90" si="210">SUM(X88:X89)</f>
        <v>722.44</v>
      </c>
      <c r="Y90" s="412">
        <f t="shared" si="210"/>
        <v>618.34</v>
      </c>
      <c r="Z90" s="412">
        <f t="shared" ref="Z90:AA90" si="211">SUM(Z88:Z89)</f>
        <v>727.19999999999993</v>
      </c>
      <c r="AA90" s="412">
        <f t="shared" si="211"/>
        <v>722.44</v>
      </c>
      <c r="AB90" s="412">
        <f t="shared" ref="AB90:AD90" si="212">SUM(AB88:AB89)</f>
        <v>583.59</v>
      </c>
      <c r="AC90" s="412">
        <f t="shared" si="212"/>
        <v>504.22999999999996</v>
      </c>
      <c r="AD90" s="412">
        <f t="shared" si="212"/>
        <v>712.69</v>
      </c>
      <c r="AE90" s="420">
        <f t="shared" si="207"/>
        <v>709.64</v>
      </c>
      <c r="AF90" s="420">
        <f t="shared" si="207"/>
        <v>710.66000000000008</v>
      </c>
      <c r="AG90" s="412">
        <f t="shared" si="207"/>
        <v>715.24</v>
      </c>
      <c r="AH90" s="412">
        <f t="shared" si="207"/>
        <v>715.24</v>
      </c>
      <c r="AI90" s="420">
        <f t="shared" si="207"/>
        <v>708.11</v>
      </c>
      <c r="AJ90" s="412">
        <f t="shared" si="207"/>
        <v>714.73</v>
      </c>
      <c r="AK90" s="420">
        <f t="shared" si="207"/>
        <v>714.48</v>
      </c>
      <c r="AL90" s="412">
        <f t="shared" si="207"/>
        <v>715.24</v>
      </c>
      <c r="AM90" s="420">
        <f t="shared" si="207"/>
        <v>710.66000000000008</v>
      </c>
      <c r="AN90" s="412">
        <f t="shared" si="207"/>
        <v>715.74</v>
      </c>
      <c r="AO90" s="412">
        <f t="shared" ref="AO90" si="213">SUM(AO88:AO89)</f>
        <v>718.29</v>
      </c>
      <c r="AP90" s="420">
        <f t="shared" si="207"/>
        <v>711.68000000000006</v>
      </c>
      <c r="AQ90" s="412">
        <f t="shared" ref="AQ90" si="214">SUM(AQ88:AQ89)</f>
        <v>715.24</v>
      </c>
      <c r="AR90" s="420">
        <f t="shared" si="207"/>
        <v>708.11</v>
      </c>
      <c r="AS90" s="420">
        <f>SUM(AS88:AS89)</f>
        <v>711.93</v>
      </c>
      <c r="AT90" s="412">
        <f>SUM(AT88:AT89)</f>
        <v>711.93</v>
      </c>
    </row>
    <row r="91" spans="1:46" s="413" customFormat="1" ht="36" customHeight="1">
      <c r="K91" s="414"/>
      <c r="L91" s="414"/>
      <c r="M91" s="414"/>
      <c r="P91" s="414"/>
      <c r="Q91" s="414"/>
      <c r="R91" s="585"/>
      <c r="S91" s="585"/>
      <c r="T91" s="585"/>
      <c r="U91" s="585"/>
      <c r="AE91" s="477"/>
      <c r="AF91" s="414"/>
      <c r="AI91" s="414"/>
      <c r="AK91" s="414"/>
      <c r="AM91" s="414"/>
      <c r="AP91" s="414"/>
      <c r="AR91" s="414"/>
      <c r="AS91" s="414"/>
    </row>
    <row r="92" spans="1:46" s="413" customFormat="1">
      <c r="A92" s="899" t="s">
        <v>873</v>
      </c>
      <c r="B92" s="900"/>
      <c r="C92" s="900"/>
      <c r="D92" s="900"/>
      <c r="E92" s="900"/>
      <c r="F92" s="900"/>
      <c r="G92" s="900"/>
      <c r="H92" s="900"/>
      <c r="I92" s="900"/>
      <c r="J92" s="901"/>
      <c r="K92" s="902" t="s">
        <v>830</v>
      </c>
      <c r="L92" s="902" t="s">
        <v>830</v>
      </c>
      <c r="M92" s="902" t="s">
        <v>830</v>
      </c>
      <c r="N92" s="875" t="s">
        <v>830</v>
      </c>
      <c r="O92" s="875" t="s">
        <v>830</v>
      </c>
      <c r="P92" s="902" t="s">
        <v>830</v>
      </c>
      <c r="Q92" s="902" t="s">
        <v>830</v>
      </c>
      <c r="R92" s="914" t="s">
        <v>830</v>
      </c>
      <c r="S92" s="914" t="s">
        <v>830</v>
      </c>
      <c r="T92" s="914" t="s">
        <v>830</v>
      </c>
      <c r="U92" s="914" t="s">
        <v>830</v>
      </c>
      <c r="V92" s="875" t="s">
        <v>830</v>
      </c>
      <c r="W92" s="875" t="s">
        <v>830</v>
      </c>
      <c r="X92" s="875" t="s">
        <v>830</v>
      </c>
      <c r="Y92" s="875" t="s">
        <v>830</v>
      </c>
      <c r="Z92" s="875" t="s">
        <v>830</v>
      </c>
      <c r="AA92" s="875" t="s">
        <v>830</v>
      </c>
      <c r="AB92" s="875" t="s">
        <v>830</v>
      </c>
      <c r="AC92" s="875" t="s">
        <v>830</v>
      </c>
      <c r="AD92" s="875" t="s">
        <v>830</v>
      </c>
      <c r="AE92" s="916" t="s">
        <v>830</v>
      </c>
      <c r="AF92" s="902" t="s">
        <v>830</v>
      </c>
      <c r="AG92" s="875" t="s">
        <v>830</v>
      </c>
      <c r="AH92" s="875" t="s">
        <v>830</v>
      </c>
      <c r="AI92" s="902" t="s">
        <v>830</v>
      </c>
      <c r="AJ92" s="875" t="s">
        <v>830</v>
      </c>
      <c r="AK92" s="902" t="s">
        <v>830</v>
      </c>
      <c r="AL92" s="875" t="s">
        <v>830</v>
      </c>
      <c r="AM92" s="902" t="s">
        <v>830</v>
      </c>
      <c r="AN92" s="875" t="s">
        <v>830</v>
      </c>
      <c r="AO92" s="875" t="s">
        <v>830</v>
      </c>
      <c r="AP92" s="902" t="s">
        <v>830</v>
      </c>
      <c r="AQ92" s="875" t="s">
        <v>830</v>
      </c>
      <c r="AR92" s="902" t="s">
        <v>830</v>
      </c>
      <c r="AS92" s="902" t="s">
        <v>830</v>
      </c>
      <c r="AT92" s="875" t="s">
        <v>830</v>
      </c>
    </row>
    <row r="93" spans="1:46" s="413" customFormat="1">
      <c r="A93" s="943" t="s">
        <v>874</v>
      </c>
      <c r="B93" s="944"/>
      <c r="C93" s="944"/>
      <c r="D93" s="944"/>
      <c r="E93" s="944"/>
      <c r="F93" s="944"/>
      <c r="G93" s="944"/>
      <c r="H93" s="944"/>
      <c r="I93" s="944"/>
      <c r="J93" s="483"/>
      <c r="K93" s="903"/>
      <c r="L93" s="903"/>
      <c r="M93" s="903"/>
      <c r="N93" s="876"/>
      <c r="O93" s="876"/>
      <c r="P93" s="903"/>
      <c r="Q93" s="903"/>
      <c r="R93" s="915"/>
      <c r="S93" s="915"/>
      <c r="T93" s="915"/>
      <c r="U93" s="915"/>
      <c r="V93" s="876"/>
      <c r="W93" s="876"/>
      <c r="X93" s="876"/>
      <c r="Y93" s="876"/>
      <c r="Z93" s="876"/>
      <c r="AA93" s="876"/>
      <c r="AB93" s="876"/>
      <c r="AC93" s="876"/>
      <c r="AD93" s="876"/>
      <c r="AE93" s="917"/>
      <c r="AF93" s="903"/>
      <c r="AG93" s="876"/>
      <c r="AH93" s="876"/>
      <c r="AI93" s="903"/>
      <c r="AJ93" s="876"/>
      <c r="AK93" s="903"/>
      <c r="AL93" s="876"/>
      <c r="AM93" s="903"/>
      <c r="AN93" s="876"/>
      <c r="AO93" s="876"/>
      <c r="AP93" s="903"/>
      <c r="AQ93" s="876"/>
      <c r="AR93" s="903"/>
      <c r="AS93" s="903"/>
      <c r="AT93" s="876"/>
    </row>
    <row r="94" spans="1:46" s="413" customFormat="1">
      <c r="A94" s="409" t="s">
        <v>157</v>
      </c>
      <c r="B94" s="936" t="s">
        <v>875</v>
      </c>
      <c r="C94" s="937"/>
      <c r="D94" s="937"/>
      <c r="E94" s="937"/>
      <c r="F94" s="937"/>
      <c r="G94" s="937"/>
      <c r="H94" s="937"/>
      <c r="I94" s="937"/>
      <c r="J94" s="425"/>
      <c r="K94" s="407">
        <f>'Uniformes e EPIs'!$G$12</f>
        <v>68.569999999999993</v>
      </c>
      <c r="L94" s="407">
        <f>'Uniformes e EPIs'!$G$12</f>
        <v>68.569999999999993</v>
      </c>
      <c r="M94" s="407">
        <f>'Uniformes e EPIs'!$G$12</f>
        <v>68.569999999999993</v>
      </c>
      <c r="N94" s="407">
        <f>'Uniformes e EPIs'!$G$12</f>
        <v>68.569999999999993</v>
      </c>
      <c r="O94" s="407">
        <f>'Uniformes e EPIs'!$G$12</f>
        <v>68.569999999999993</v>
      </c>
      <c r="P94" s="407">
        <f>'Uniformes e EPIs'!$G$12</f>
        <v>68.569999999999993</v>
      </c>
      <c r="Q94" s="407">
        <f>'Uniformes e EPIs'!$G$12</f>
        <v>68.569999999999993</v>
      </c>
      <c r="R94" s="714">
        <f>'Uniformes e EPIs'!$G$12</f>
        <v>68.569999999999993</v>
      </c>
      <c r="S94" s="714">
        <f>'Uniformes e EPIs'!$G$12</f>
        <v>68.569999999999993</v>
      </c>
      <c r="T94" s="714">
        <f>'Uniformes e EPIs'!$G$12</f>
        <v>68.569999999999993</v>
      </c>
      <c r="U94" s="714">
        <f>'Uniformes e EPIs'!$G$12</f>
        <v>68.569999999999993</v>
      </c>
      <c r="V94" s="407">
        <f>'Uniformes e EPIs'!$G$12</f>
        <v>68.569999999999993</v>
      </c>
      <c r="W94" s="407">
        <f>'Uniformes e EPIs'!$G$12</f>
        <v>68.569999999999993</v>
      </c>
      <c r="X94" s="407">
        <f>'Uniformes e EPIs'!$G$12</f>
        <v>68.569999999999993</v>
      </c>
      <c r="Y94" s="407">
        <f>'Uniformes e EPIs'!$G$12</f>
        <v>68.569999999999993</v>
      </c>
      <c r="Z94" s="407">
        <f>'Uniformes e EPIs'!$G$12</f>
        <v>68.569999999999993</v>
      </c>
      <c r="AA94" s="407">
        <f>'Uniformes e EPIs'!$G$12</f>
        <v>68.569999999999993</v>
      </c>
      <c r="AB94" s="407">
        <f>'Uniformes e EPIs'!$G$12</f>
        <v>68.569999999999993</v>
      </c>
      <c r="AC94" s="407">
        <f>'Uniformes e EPIs'!$G$12</f>
        <v>68.569999999999993</v>
      </c>
      <c r="AD94" s="407">
        <f>'Uniformes e EPIs'!$G$12</f>
        <v>68.569999999999993</v>
      </c>
      <c r="AE94" s="407">
        <f>'Uniformes e EPIs'!$G$12</f>
        <v>68.569999999999993</v>
      </c>
      <c r="AF94" s="407">
        <f>'Uniformes e EPIs'!$G$12</f>
        <v>68.569999999999993</v>
      </c>
      <c r="AG94" s="407">
        <f>'Uniformes e EPIs'!$G$12</f>
        <v>68.569999999999993</v>
      </c>
      <c r="AH94" s="407">
        <f>'Uniformes e EPIs'!$G$12</f>
        <v>68.569999999999993</v>
      </c>
      <c r="AI94" s="407">
        <f>'Uniformes e EPIs'!$G$12</f>
        <v>68.569999999999993</v>
      </c>
      <c r="AJ94" s="407">
        <f>'Uniformes e EPIs'!$G$12</f>
        <v>68.569999999999993</v>
      </c>
      <c r="AK94" s="407">
        <f>'Uniformes e EPIs'!$G$12</f>
        <v>68.569999999999993</v>
      </c>
      <c r="AL94" s="407">
        <f>'Uniformes e EPIs'!$G$12</f>
        <v>68.569999999999993</v>
      </c>
      <c r="AM94" s="407">
        <f>'Uniformes e EPIs'!$G$12</f>
        <v>68.569999999999993</v>
      </c>
      <c r="AN94" s="407">
        <f>'Uniformes e EPIs'!$G$12</f>
        <v>68.569999999999993</v>
      </c>
      <c r="AO94" s="407">
        <f>'Uniformes e EPIs'!$G$12</f>
        <v>68.569999999999993</v>
      </c>
      <c r="AP94" s="407">
        <f>'Uniformes e EPIs'!$G$12</f>
        <v>68.569999999999993</v>
      </c>
      <c r="AQ94" s="407">
        <f>'Uniformes e EPIs'!$G$12</f>
        <v>68.569999999999993</v>
      </c>
      <c r="AR94" s="407">
        <f>'Uniformes e EPIs'!$G$12</f>
        <v>68.569999999999993</v>
      </c>
      <c r="AS94" s="407">
        <f>'Uniformes e EPIs'!$G$12</f>
        <v>68.569999999999993</v>
      </c>
      <c r="AT94" s="407">
        <f>'Uniformes e EPIs'!$G$12</f>
        <v>68.569999999999993</v>
      </c>
    </row>
    <row r="95" spans="1:46" s="413" customFormat="1">
      <c r="A95" s="409" t="s">
        <v>159</v>
      </c>
      <c r="B95" s="936" t="s">
        <v>876</v>
      </c>
      <c r="C95" s="937"/>
      <c r="D95" s="937"/>
      <c r="E95" s="937"/>
      <c r="F95" s="937"/>
      <c r="G95" s="937"/>
      <c r="H95" s="937"/>
      <c r="I95" s="937"/>
      <c r="J95" s="425"/>
      <c r="K95" s="407">
        <f>'Uniformes e EPIs'!$G$24</f>
        <v>55.559999999999995</v>
      </c>
      <c r="L95" s="407">
        <f>'Uniformes e EPIs'!$G$24</f>
        <v>55.559999999999995</v>
      </c>
      <c r="M95" s="407">
        <f>'Uniformes e EPIs'!$G$24</f>
        <v>55.559999999999995</v>
      </c>
      <c r="N95" s="407">
        <f>'Uniformes e EPIs'!$G$24</f>
        <v>55.559999999999995</v>
      </c>
      <c r="O95" s="407">
        <f>'Uniformes e EPIs'!$G$24</f>
        <v>55.559999999999995</v>
      </c>
      <c r="P95" s="407">
        <f>'Uniformes e EPIs'!$G$24</f>
        <v>55.559999999999995</v>
      </c>
      <c r="Q95" s="407">
        <f>'Uniformes e EPIs'!$G$24</f>
        <v>55.559999999999995</v>
      </c>
      <c r="R95" s="714">
        <f>'Uniformes e EPIs'!$G$24</f>
        <v>55.559999999999995</v>
      </c>
      <c r="S95" s="714">
        <f>'Uniformes e EPIs'!$G$24</f>
        <v>55.559999999999995</v>
      </c>
      <c r="T95" s="714">
        <f>'Uniformes e EPIs'!$G$24</f>
        <v>55.559999999999995</v>
      </c>
      <c r="U95" s="714">
        <f>'Uniformes e EPIs'!$G$24</f>
        <v>55.559999999999995</v>
      </c>
      <c r="V95" s="407">
        <f>'Uniformes e EPIs'!$G$24</f>
        <v>55.559999999999995</v>
      </c>
      <c r="W95" s="407">
        <f>'Uniformes e EPIs'!$G$24</f>
        <v>55.559999999999995</v>
      </c>
      <c r="X95" s="407">
        <f>'Uniformes e EPIs'!$G$24</f>
        <v>55.559999999999995</v>
      </c>
      <c r="Y95" s="407">
        <f>'Uniformes e EPIs'!$G$24</f>
        <v>55.559999999999995</v>
      </c>
      <c r="Z95" s="407">
        <f>'Uniformes e EPIs'!$G$24</f>
        <v>55.559999999999995</v>
      </c>
      <c r="AA95" s="407">
        <f>'Uniformes e EPIs'!$G$24</f>
        <v>55.559999999999995</v>
      </c>
      <c r="AB95" s="407">
        <f>'Uniformes e EPIs'!$G$24</f>
        <v>55.559999999999995</v>
      </c>
      <c r="AC95" s="407">
        <f>'Uniformes e EPIs'!$G$24</f>
        <v>55.559999999999995</v>
      </c>
      <c r="AD95" s="407">
        <f>'Uniformes e EPIs'!$G$24</f>
        <v>55.559999999999995</v>
      </c>
      <c r="AE95" s="407">
        <f>'Uniformes e EPIs'!$G$24</f>
        <v>55.559999999999995</v>
      </c>
      <c r="AF95" s="407">
        <f>'Uniformes e EPIs'!$G$24</f>
        <v>55.559999999999995</v>
      </c>
      <c r="AG95" s="407">
        <f>'Uniformes e EPIs'!$G$24</f>
        <v>55.559999999999995</v>
      </c>
      <c r="AH95" s="407">
        <f>'Uniformes e EPIs'!$G$24</f>
        <v>55.559999999999995</v>
      </c>
      <c r="AI95" s="407">
        <f>'Uniformes e EPIs'!$G$24</f>
        <v>55.559999999999995</v>
      </c>
      <c r="AJ95" s="407">
        <f>'Uniformes e EPIs'!$G$24</f>
        <v>55.559999999999995</v>
      </c>
      <c r="AK95" s="407">
        <f>'Uniformes e EPIs'!$G$24</f>
        <v>55.559999999999995</v>
      </c>
      <c r="AL95" s="407">
        <f>'Uniformes e EPIs'!$G$24</f>
        <v>55.559999999999995</v>
      </c>
      <c r="AM95" s="407">
        <f>'Uniformes e EPIs'!$G$24</f>
        <v>55.559999999999995</v>
      </c>
      <c r="AN95" s="407">
        <f>'Uniformes e EPIs'!$G$24</f>
        <v>55.559999999999995</v>
      </c>
      <c r="AO95" s="407">
        <f>'Uniformes e EPIs'!$G$24</f>
        <v>55.559999999999995</v>
      </c>
      <c r="AP95" s="407">
        <f>'Uniformes e EPIs'!$G$24</f>
        <v>55.559999999999995</v>
      </c>
      <c r="AQ95" s="407">
        <f>'Uniformes e EPIs'!$G$24</f>
        <v>55.559999999999995</v>
      </c>
      <c r="AR95" s="407">
        <f>'Uniformes e EPIs'!$G$24</f>
        <v>55.559999999999995</v>
      </c>
      <c r="AS95" s="407">
        <f>'Uniformes e EPIs'!$G$24</f>
        <v>55.559999999999995</v>
      </c>
      <c r="AT95" s="407">
        <f>'Uniformes e EPIs'!$G$24</f>
        <v>55.559999999999995</v>
      </c>
    </row>
    <row r="96" spans="1:46" s="413" customFormat="1">
      <c r="A96" s="409" t="s">
        <v>161</v>
      </c>
      <c r="B96" s="936" t="s">
        <v>877</v>
      </c>
      <c r="C96" s="937"/>
      <c r="D96" s="937"/>
      <c r="E96" s="937"/>
      <c r="F96" s="937"/>
      <c r="G96" s="937"/>
      <c r="H96" s="937"/>
      <c r="I96" s="937"/>
      <c r="J96" s="425"/>
      <c r="K96" s="484">
        <f>Equipamentos!$H$31</f>
        <v>102.74</v>
      </c>
      <c r="L96" s="484">
        <f>Equipamentos!$H$31</f>
        <v>102.74</v>
      </c>
      <c r="M96" s="484">
        <f>Equipamentos!$H$31</f>
        <v>102.74</v>
      </c>
      <c r="N96" s="484">
        <f>Equipamentos!$H$31</f>
        <v>102.74</v>
      </c>
      <c r="O96" s="484">
        <f>Equipamentos!$H$31</f>
        <v>102.74</v>
      </c>
      <c r="P96" s="484">
        <f>Equipamentos!$H$31</f>
        <v>102.74</v>
      </c>
      <c r="Q96" s="484">
        <f>Equipamentos!$H$31</f>
        <v>102.74</v>
      </c>
      <c r="R96" s="723">
        <f>Equipamentos!$H$31</f>
        <v>102.74</v>
      </c>
      <c r="S96" s="723">
        <f>Equipamentos!$H$31</f>
        <v>102.74</v>
      </c>
      <c r="T96" s="723">
        <f>Equipamentos!$H$31</f>
        <v>102.74</v>
      </c>
      <c r="U96" s="723">
        <f>Equipamentos!$H$31</f>
        <v>102.74</v>
      </c>
      <c r="V96" s="484">
        <f>Equipamentos!$H$31</f>
        <v>102.74</v>
      </c>
      <c r="W96" s="484">
        <f>Equipamentos!$H$31</f>
        <v>102.74</v>
      </c>
      <c r="X96" s="484">
        <f>Equipamentos!$H$31</f>
        <v>102.74</v>
      </c>
      <c r="Y96" s="484">
        <f>Equipamentos!$H$31</f>
        <v>102.74</v>
      </c>
      <c r="Z96" s="484">
        <f>Equipamentos!$H$31</f>
        <v>102.74</v>
      </c>
      <c r="AA96" s="484">
        <f>Equipamentos!$H$31</f>
        <v>102.74</v>
      </c>
      <c r="AB96" s="484">
        <f>Equipamentos!$H$31</f>
        <v>102.74</v>
      </c>
      <c r="AC96" s="484">
        <f>Equipamentos!$H$31</f>
        <v>102.74</v>
      </c>
      <c r="AD96" s="484">
        <f>Equipamentos!$H$31</f>
        <v>102.74</v>
      </c>
      <c r="AE96" s="484">
        <f>Equipamentos!$H$31</f>
        <v>102.74</v>
      </c>
      <c r="AF96" s="484">
        <f>Equipamentos!$H$31</f>
        <v>102.74</v>
      </c>
      <c r="AG96" s="484">
        <f>Equipamentos!$H$31</f>
        <v>102.74</v>
      </c>
      <c r="AH96" s="484">
        <f>Equipamentos!$H$31</f>
        <v>102.74</v>
      </c>
      <c r="AI96" s="484">
        <f>Equipamentos!$H$31</f>
        <v>102.74</v>
      </c>
      <c r="AJ96" s="484">
        <f>Equipamentos!$H$31</f>
        <v>102.74</v>
      </c>
      <c r="AK96" s="484">
        <f>Equipamentos!$H$31</f>
        <v>102.74</v>
      </c>
      <c r="AL96" s="484">
        <f>Equipamentos!$H$31</f>
        <v>102.74</v>
      </c>
      <c r="AM96" s="484">
        <f>Equipamentos!$H$31</f>
        <v>102.74</v>
      </c>
      <c r="AN96" s="484">
        <f>Equipamentos!$H$31</f>
        <v>102.74</v>
      </c>
      <c r="AO96" s="484">
        <f>Equipamentos!$H$31</f>
        <v>102.74</v>
      </c>
      <c r="AP96" s="484">
        <f>Equipamentos!$H$31</f>
        <v>102.74</v>
      </c>
      <c r="AQ96" s="484">
        <f>Equipamentos!$H$31</f>
        <v>102.74</v>
      </c>
      <c r="AR96" s="484">
        <f>Equipamentos!$H$31</f>
        <v>102.74</v>
      </c>
      <c r="AS96" s="484">
        <f>Equipamentos!$H$31</f>
        <v>102.74</v>
      </c>
      <c r="AT96" s="484">
        <f>Equipamentos!$H$31</f>
        <v>102.74</v>
      </c>
    </row>
    <row r="97" spans="1:46" s="413" customFormat="1">
      <c r="A97" s="409" t="s">
        <v>165</v>
      </c>
      <c r="B97" s="936" t="s">
        <v>878</v>
      </c>
      <c r="C97" s="937"/>
      <c r="D97" s="937"/>
      <c r="E97" s="937"/>
      <c r="F97" s="937"/>
      <c r="G97" s="937"/>
      <c r="H97" s="937"/>
      <c r="I97" s="937"/>
      <c r="J97" s="425"/>
      <c r="K97" s="484">
        <f>Ferramentas!$H$125</f>
        <v>78.45</v>
      </c>
      <c r="L97" s="484">
        <f>Ferramentas!$H$125</f>
        <v>78.45</v>
      </c>
      <c r="M97" s="484">
        <f>Ferramentas!$H$125</f>
        <v>78.45</v>
      </c>
      <c r="N97" s="484">
        <f>Ferramentas!$H$125</f>
        <v>78.45</v>
      </c>
      <c r="O97" s="484">
        <f>Ferramentas!$H$125</f>
        <v>78.45</v>
      </c>
      <c r="P97" s="484">
        <f>Ferramentas!$H$125</f>
        <v>78.45</v>
      </c>
      <c r="Q97" s="484">
        <f>Ferramentas!$H$125</f>
        <v>78.45</v>
      </c>
      <c r="R97" s="723">
        <f>Ferramentas!$H$125</f>
        <v>78.45</v>
      </c>
      <c r="S97" s="723">
        <f>Ferramentas!$H$125</f>
        <v>78.45</v>
      </c>
      <c r="T97" s="723">
        <f>Ferramentas!$H$125</f>
        <v>78.45</v>
      </c>
      <c r="U97" s="723">
        <f>Ferramentas!$H$125</f>
        <v>78.45</v>
      </c>
      <c r="V97" s="484">
        <f>Ferramentas!$H$125</f>
        <v>78.45</v>
      </c>
      <c r="W97" s="484">
        <f>Ferramentas!$H$125</f>
        <v>78.45</v>
      </c>
      <c r="X97" s="484">
        <f>Ferramentas!$H$125</f>
        <v>78.45</v>
      </c>
      <c r="Y97" s="484">
        <f>Ferramentas!$H$125</f>
        <v>78.45</v>
      </c>
      <c r="Z97" s="484">
        <f>Ferramentas!$H$125</f>
        <v>78.45</v>
      </c>
      <c r="AA97" s="484">
        <f>Ferramentas!$H$125</f>
        <v>78.45</v>
      </c>
      <c r="AB97" s="484">
        <f>Ferramentas!$H$125</f>
        <v>78.45</v>
      </c>
      <c r="AC97" s="484">
        <f>Ferramentas!$H$125</f>
        <v>78.45</v>
      </c>
      <c r="AD97" s="484">
        <f>Ferramentas!$H$125</f>
        <v>78.45</v>
      </c>
      <c r="AE97" s="484">
        <f>Ferramentas!$H$125</f>
        <v>78.45</v>
      </c>
      <c r="AF97" s="484">
        <f>Ferramentas!$H$125</f>
        <v>78.45</v>
      </c>
      <c r="AG97" s="484">
        <f>Ferramentas!$H$125</f>
        <v>78.45</v>
      </c>
      <c r="AH97" s="484">
        <f>Ferramentas!$H$125</f>
        <v>78.45</v>
      </c>
      <c r="AI97" s="484">
        <f>Ferramentas!$H$125</f>
        <v>78.45</v>
      </c>
      <c r="AJ97" s="484">
        <f>Ferramentas!$H$125</f>
        <v>78.45</v>
      </c>
      <c r="AK97" s="484">
        <f>Ferramentas!$H$125</f>
        <v>78.45</v>
      </c>
      <c r="AL97" s="484">
        <f>Ferramentas!$H$125</f>
        <v>78.45</v>
      </c>
      <c r="AM97" s="484">
        <f>Ferramentas!$H$125</f>
        <v>78.45</v>
      </c>
      <c r="AN97" s="484">
        <f>Ferramentas!$H$125</f>
        <v>78.45</v>
      </c>
      <c r="AO97" s="484">
        <f>Ferramentas!$H$125</f>
        <v>78.45</v>
      </c>
      <c r="AP97" s="484">
        <f>Ferramentas!$H$125</f>
        <v>78.45</v>
      </c>
      <c r="AQ97" s="484">
        <f>Ferramentas!$H$125</f>
        <v>78.45</v>
      </c>
      <c r="AR97" s="484">
        <f>Ferramentas!$H$125</f>
        <v>78.45</v>
      </c>
      <c r="AS97" s="484">
        <f>Ferramentas!$H$125</f>
        <v>78.45</v>
      </c>
      <c r="AT97" s="484">
        <f>Ferramentas!$H$125</f>
        <v>78.45</v>
      </c>
    </row>
    <row r="98" spans="1:46" s="413" customFormat="1">
      <c r="A98" s="409" t="s">
        <v>167</v>
      </c>
      <c r="B98" s="936" t="s">
        <v>879</v>
      </c>
      <c r="C98" s="937"/>
      <c r="D98" s="937"/>
      <c r="E98" s="937"/>
      <c r="F98" s="937"/>
      <c r="G98" s="937"/>
      <c r="H98" s="937"/>
      <c r="I98" s="937"/>
      <c r="J98" s="425"/>
      <c r="K98" s="411"/>
      <c r="L98" s="411"/>
      <c r="M98" s="411"/>
      <c r="N98" s="412"/>
      <c r="O98" s="412"/>
      <c r="P98" s="485"/>
      <c r="Q98" s="411"/>
      <c r="R98" s="715"/>
      <c r="S98" s="715"/>
      <c r="T98" s="715"/>
      <c r="U98" s="715"/>
      <c r="V98" s="412"/>
      <c r="W98" s="412"/>
      <c r="X98" s="412"/>
      <c r="Y98" s="412"/>
      <c r="Z98" s="412"/>
      <c r="AA98" s="412"/>
      <c r="AB98" s="412"/>
      <c r="AC98" s="412"/>
      <c r="AD98" s="412"/>
      <c r="AE98" s="485"/>
      <c r="AF98" s="485"/>
      <c r="AG98" s="412"/>
      <c r="AH98" s="412"/>
      <c r="AI98" s="485"/>
      <c r="AJ98" s="412"/>
      <c r="AK98" s="485"/>
      <c r="AL98" s="412"/>
      <c r="AM98" s="485"/>
      <c r="AN98" s="412"/>
      <c r="AO98" s="412"/>
      <c r="AP98" s="485"/>
      <c r="AQ98" s="412"/>
      <c r="AR98" s="485"/>
      <c r="AS98" s="411"/>
      <c r="AT98" s="412"/>
    </row>
    <row r="99" spans="1:46" s="413" customFormat="1">
      <c r="A99" s="918" t="s">
        <v>175</v>
      </c>
      <c r="B99" s="919"/>
      <c r="C99" s="919"/>
      <c r="D99" s="919"/>
      <c r="E99" s="919"/>
      <c r="F99" s="919"/>
      <c r="G99" s="919"/>
      <c r="H99" s="919"/>
      <c r="I99" s="919"/>
      <c r="J99" s="560"/>
      <c r="K99" s="420">
        <f t="shared" ref="K99:AR99" si="215">SUM(K94:K98)</f>
        <v>305.32</v>
      </c>
      <c r="L99" s="420">
        <f t="shared" si="215"/>
        <v>305.32</v>
      </c>
      <c r="M99" s="420">
        <f t="shared" si="215"/>
        <v>305.32</v>
      </c>
      <c r="N99" s="486">
        <f t="shared" si="215"/>
        <v>305.32</v>
      </c>
      <c r="O99" s="486">
        <f t="shared" si="215"/>
        <v>305.32</v>
      </c>
      <c r="P99" s="487">
        <f t="shared" si="215"/>
        <v>305.32</v>
      </c>
      <c r="Q99" s="487">
        <f t="shared" si="215"/>
        <v>305.32</v>
      </c>
      <c r="R99" s="724">
        <f t="shared" ref="R99:T99" si="216">SUM(R94:R98)</f>
        <v>305.32</v>
      </c>
      <c r="S99" s="724">
        <f t="shared" si="216"/>
        <v>305.32</v>
      </c>
      <c r="T99" s="724">
        <f t="shared" si="216"/>
        <v>305.32</v>
      </c>
      <c r="U99" s="724">
        <f t="shared" si="215"/>
        <v>305.32</v>
      </c>
      <c r="V99" s="486">
        <f t="shared" ref="V99:W99" si="217">SUM(V94:V98)</f>
        <v>305.32</v>
      </c>
      <c r="W99" s="486">
        <f t="shared" si="217"/>
        <v>305.32</v>
      </c>
      <c r="X99" s="486">
        <f t="shared" ref="X99:Y99" si="218">SUM(X94:X98)</f>
        <v>305.32</v>
      </c>
      <c r="Y99" s="486">
        <f t="shared" si="218"/>
        <v>305.32</v>
      </c>
      <c r="Z99" s="486">
        <f t="shared" ref="Z99:AA99" si="219">SUM(Z94:Z98)</f>
        <v>305.32</v>
      </c>
      <c r="AA99" s="486">
        <f t="shared" si="219"/>
        <v>305.32</v>
      </c>
      <c r="AB99" s="486">
        <f t="shared" ref="AB99:AD99" si="220">SUM(AB94:AB98)</f>
        <v>305.32</v>
      </c>
      <c r="AC99" s="486">
        <f t="shared" si="220"/>
        <v>305.32</v>
      </c>
      <c r="AD99" s="486">
        <f t="shared" si="220"/>
        <v>305.32</v>
      </c>
      <c r="AE99" s="487">
        <f t="shared" si="215"/>
        <v>305.32</v>
      </c>
      <c r="AF99" s="487">
        <f t="shared" si="215"/>
        <v>305.32</v>
      </c>
      <c r="AG99" s="486">
        <f t="shared" si="215"/>
        <v>305.32</v>
      </c>
      <c r="AH99" s="486">
        <f t="shared" si="215"/>
        <v>305.32</v>
      </c>
      <c r="AI99" s="487">
        <f t="shared" si="215"/>
        <v>305.32</v>
      </c>
      <c r="AJ99" s="486">
        <f t="shared" si="215"/>
        <v>305.32</v>
      </c>
      <c r="AK99" s="487">
        <f t="shared" si="215"/>
        <v>305.32</v>
      </c>
      <c r="AL99" s="486">
        <f t="shared" si="215"/>
        <v>305.32</v>
      </c>
      <c r="AM99" s="487">
        <f t="shared" si="215"/>
        <v>305.32</v>
      </c>
      <c r="AN99" s="486">
        <f t="shared" si="215"/>
        <v>305.32</v>
      </c>
      <c r="AO99" s="486">
        <f t="shared" ref="AO99" si="221">SUM(AO94:AO98)</f>
        <v>305.32</v>
      </c>
      <c r="AP99" s="487">
        <f t="shared" si="215"/>
        <v>305.32</v>
      </c>
      <c r="AQ99" s="486">
        <f t="shared" ref="AQ99" si="222">SUM(AQ94:AQ98)</f>
        <v>305.32</v>
      </c>
      <c r="AR99" s="487">
        <f t="shared" si="215"/>
        <v>305.32</v>
      </c>
      <c r="AS99" s="487">
        <f>SUM(AS94:AS98)</f>
        <v>305.32</v>
      </c>
      <c r="AT99" s="486">
        <f>SUM(AT94:AT98)</f>
        <v>305.32</v>
      </c>
    </row>
    <row r="100" spans="1:46" s="413" customFormat="1" ht="51" customHeight="1">
      <c r="K100" s="414"/>
      <c r="L100" s="414"/>
      <c r="M100" s="414"/>
      <c r="P100" s="414"/>
      <c r="Q100" s="414"/>
      <c r="R100" s="585"/>
      <c r="S100" s="585"/>
      <c r="T100" s="585"/>
      <c r="U100" s="585"/>
      <c r="AE100" s="477"/>
      <c r="AF100" s="414"/>
      <c r="AI100" s="414"/>
      <c r="AK100" s="414"/>
      <c r="AM100" s="414"/>
      <c r="AP100" s="414"/>
      <c r="AR100" s="414"/>
      <c r="AS100" s="414"/>
    </row>
    <row r="101" spans="1:46" s="413" customFormat="1">
      <c r="A101" s="899" t="s">
        <v>880</v>
      </c>
      <c r="B101" s="900"/>
      <c r="C101" s="900"/>
      <c r="D101" s="900"/>
      <c r="E101" s="900"/>
      <c r="F101" s="900"/>
      <c r="G101" s="900"/>
      <c r="H101" s="900"/>
      <c r="I101" s="900"/>
      <c r="J101" s="901"/>
      <c r="K101" s="404" t="s">
        <v>830</v>
      </c>
      <c r="L101" s="404" t="s">
        <v>830</v>
      </c>
      <c r="M101" s="404" t="s">
        <v>830</v>
      </c>
      <c r="N101" s="552" t="s">
        <v>830</v>
      </c>
      <c r="O101" s="552" t="s">
        <v>830</v>
      </c>
      <c r="P101" s="404" t="s">
        <v>830</v>
      </c>
      <c r="Q101" s="404" t="s">
        <v>830</v>
      </c>
      <c r="R101" s="712" t="s">
        <v>830</v>
      </c>
      <c r="S101" s="712" t="s">
        <v>830</v>
      </c>
      <c r="T101" s="712" t="s">
        <v>830</v>
      </c>
      <c r="U101" s="712" t="s">
        <v>830</v>
      </c>
      <c r="V101" s="552" t="s">
        <v>830</v>
      </c>
      <c r="W101" s="552" t="s">
        <v>830</v>
      </c>
      <c r="X101" s="552" t="s">
        <v>830</v>
      </c>
      <c r="Y101" s="552" t="s">
        <v>830</v>
      </c>
      <c r="Z101" s="552" t="s">
        <v>830</v>
      </c>
      <c r="AA101" s="552" t="s">
        <v>830</v>
      </c>
      <c r="AB101" s="552" t="s">
        <v>830</v>
      </c>
      <c r="AC101" s="552" t="s">
        <v>830</v>
      </c>
      <c r="AD101" s="552" t="s">
        <v>830</v>
      </c>
      <c r="AE101" s="784" t="s">
        <v>830</v>
      </c>
      <c r="AF101" s="404" t="s">
        <v>830</v>
      </c>
      <c r="AG101" s="552" t="s">
        <v>830</v>
      </c>
      <c r="AH101" s="552" t="s">
        <v>830</v>
      </c>
      <c r="AI101" s="404" t="s">
        <v>830</v>
      </c>
      <c r="AJ101" s="552" t="s">
        <v>830</v>
      </c>
      <c r="AK101" s="404" t="s">
        <v>830</v>
      </c>
      <c r="AL101" s="552" t="s">
        <v>830</v>
      </c>
      <c r="AM101" s="404" t="s">
        <v>830</v>
      </c>
      <c r="AN101" s="552" t="s">
        <v>830</v>
      </c>
      <c r="AO101" s="552" t="s">
        <v>830</v>
      </c>
      <c r="AP101" s="404" t="s">
        <v>830</v>
      </c>
      <c r="AQ101" s="552" t="s">
        <v>830</v>
      </c>
      <c r="AR101" s="404" t="s">
        <v>830</v>
      </c>
      <c r="AS101" s="404" t="s">
        <v>830</v>
      </c>
      <c r="AT101" s="552" t="s">
        <v>830</v>
      </c>
    </row>
    <row r="102" spans="1:46" s="413" customFormat="1">
      <c r="A102" s="911" t="s">
        <v>829</v>
      </c>
      <c r="B102" s="912"/>
      <c r="C102" s="912"/>
      <c r="D102" s="912"/>
      <c r="E102" s="912"/>
      <c r="F102" s="912"/>
      <c r="G102" s="912"/>
      <c r="H102" s="912"/>
      <c r="I102" s="912"/>
      <c r="J102" s="913"/>
      <c r="K102" s="444">
        <f t="shared" ref="K102:AT102" si="223">K14</f>
        <v>13940.189999999999</v>
      </c>
      <c r="L102" s="444">
        <f t="shared" si="223"/>
        <v>3921.7</v>
      </c>
      <c r="M102" s="444">
        <f t="shared" si="223"/>
        <v>3268.08</v>
      </c>
      <c r="N102" s="408">
        <f t="shared" si="223"/>
        <v>3268.08</v>
      </c>
      <c r="O102" s="408">
        <f t="shared" si="223"/>
        <v>2685.8100000000004</v>
      </c>
      <c r="P102" s="444">
        <f t="shared" si="223"/>
        <v>3268.08</v>
      </c>
      <c r="Q102" s="444">
        <f t="shared" si="223"/>
        <v>3268.08</v>
      </c>
      <c r="R102" s="714">
        <f t="shared" si="223"/>
        <v>3268.08</v>
      </c>
      <c r="S102" s="714">
        <f t="shared" si="223"/>
        <v>3629.3513890909094</v>
      </c>
      <c r="T102" s="714">
        <f t="shared" si="223"/>
        <v>3268.08</v>
      </c>
      <c r="U102" s="714">
        <f t="shared" si="223"/>
        <v>3629.3513890909094</v>
      </c>
      <c r="V102" s="408">
        <f t="shared" si="223"/>
        <v>3268.08</v>
      </c>
      <c r="W102" s="408">
        <f t="shared" si="223"/>
        <v>3268.08</v>
      </c>
      <c r="X102" s="408">
        <f t="shared" si="223"/>
        <v>3268.08</v>
      </c>
      <c r="Y102" s="408">
        <f t="shared" si="223"/>
        <v>2685.8100000000004</v>
      </c>
      <c r="Z102" s="408">
        <f t="shared" si="223"/>
        <v>3430.9</v>
      </c>
      <c r="AA102" s="408">
        <f t="shared" si="223"/>
        <v>3268.08</v>
      </c>
      <c r="AB102" s="408">
        <f t="shared" si="223"/>
        <v>2513.91</v>
      </c>
      <c r="AC102" s="408">
        <f t="shared" ref="AC102" si="224">AC14</f>
        <v>2066.0100000000002</v>
      </c>
      <c r="AD102" s="408">
        <f t="shared" si="223"/>
        <v>3268.08</v>
      </c>
      <c r="AE102" s="444">
        <f t="shared" si="223"/>
        <v>3268.08</v>
      </c>
      <c r="AF102" s="444">
        <f t="shared" si="223"/>
        <v>3268.08</v>
      </c>
      <c r="AG102" s="408">
        <f t="shared" si="223"/>
        <v>3268.08</v>
      </c>
      <c r="AH102" s="408">
        <f t="shared" si="223"/>
        <v>3268.08</v>
      </c>
      <c r="AI102" s="444">
        <f t="shared" si="223"/>
        <v>3268.08</v>
      </c>
      <c r="AJ102" s="408">
        <f t="shared" si="223"/>
        <v>3268.08</v>
      </c>
      <c r="AK102" s="444">
        <f t="shared" si="223"/>
        <v>3268.08</v>
      </c>
      <c r="AL102" s="408">
        <f t="shared" si="223"/>
        <v>3268.08</v>
      </c>
      <c r="AM102" s="444">
        <f t="shared" si="223"/>
        <v>3268.08</v>
      </c>
      <c r="AN102" s="408">
        <f t="shared" si="223"/>
        <v>3268.08</v>
      </c>
      <c r="AO102" s="408">
        <f t="shared" si="223"/>
        <v>3268.08</v>
      </c>
      <c r="AP102" s="444">
        <f t="shared" si="223"/>
        <v>3268.08</v>
      </c>
      <c r="AQ102" s="408">
        <f t="shared" si="223"/>
        <v>3268.08</v>
      </c>
      <c r="AR102" s="444">
        <f t="shared" si="223"/>
        <v>3268.08</v>
      </c>
      <c r="AS102" s="444">
        <f t="shared" si="223"/>
        <v>3268.08</v>
      </c>
      <c r="AT102" s="408">
        <f t="shared" si="223"/>
        <v>3268.08</v>
      </c>
    </row>
    <row r="103" spans="1:46" s="413" customFormat="1">
      <c r="A103" s="911" t="s">
        <v>836</v>
      </c>
      <c r="B103" s="912"/>
      <c r="C103" s="912"/>
      <c r="D103" s="912"/>
      <c r="E103" s="912"/>
      <c r="F103" s="912"/>
      <c r="G103" s="912"/>
      <c r="H103" s="912"/>
      <c r="I103" s="912"/>
      <c r="J103" s="913"/>
      <c r="K103" s="444">
        <f t="shared" ref="K103:AR103" si="225">K55</f>
        <v>8321.5550000000003</v>
      </c>
      <c r="L103" s="444">
        <f t="shared" si="225"/>
        <v>3053.7218000000003</v>
      </c>
      <c r="M103" s="444">
        <f t="shared" si="225"/>
        <v>2744.0185999999999</v>
      </c>
      <c r="N103" s="408">
        <f t="shared" si="225"/>
        <v>2744.0185999999999</v>
      </c>
      <c r="O103" s="408">
        <f t="shared" si="225"/>
        <v>2468.1226000000001</v>
      </c>
      <c r="P103" s="444">
        <f t="shared" si="225"/>
        <v>2744.0185999999999</v>
      </c>
      <c r="Q103" s="444">
        <f t="shared" si="225"/>
        <v>2744.0185999999999</v>
      </c>
      <c r="R103" s="714">
        <f t="shared" ref="R103:T103" si="226">R55</f>
        <v>2530.7006000000001</v>
      </c>
      <c r="S103" s="714">
        <f t="shared" si="226"/>
        <v>2718.5806000000002</v>
      </c>
      <c r="T103" s="714">
        <f t="shared" si="226"/>
        <v>2530.7006000000001</v>
      </c>
      <c r="U103" s="714">
        <f t="shared" si="225"/>
        <v>2718.5806000000002</v>
      </c>
      <c r="V103" s="408">
        <f t="shared" ref="V103:W103" si="227">V55</f>
        <v>2744.0185999999999</v>
      </c>
      <c r="W103" s="408">
        <f t="shared" si="227"/>
        <v>2744.0185999999999</v>
      </c>
      <c r="X103" s="408">
        <f t="shared" ref="X103:Y103" si="228">X55</f>
        <v>2744.0185999999999</v>
      </c>
      <c r="Y103" s="408">
        <f t="shared" si="228"/>
        <v>2468.1226000000001</v>
      </c>
      <c r="Z103" s="408">
        <f t="shared" ref="Z103:AA103" si="229">Z55</f>
        <v>2610.4518999999996</v>
      </c>
      <c r="AA103" s="408">
        <f t="shared" si="229"/>
        <v>2744.0185999999999</v>
      </c>
      <c r="AB103" s="408">
        <f t="shared" ref="AB103:AD103" si="230">AB55</f>
        <v>2351.8485999999998</v>
      </c>
      <c r="AC103" s="408">
        <f t="shared" si="230"/>
        <v>2145.8126000000002</v>
      </c>
      <c r="AD103" s="408">
        <f t="shared" si="230"/>
        <v>2659.6705999999999</v>
      </c>
      <c r="AE103" s="444">
        <f t="shared" si="225"/>
        <v>2633.2705999999998</v>
      </c>
      <c r="AF103" s="444">
        <f t="shared" si="225"/>
        <v>2642.0706</v>
      </c>
      <c r="AG103" s="408">
        <f t="shared" si="225"/>
        <v>2681.6705999999999</v>
      </c>
      <c r="AH103" s="408">
        <f t="shared" si="225"/>
        <v>2681.6705999999999</v>
      </c>
      <c r="AI103" s="444">
        <f t="shared" si="225"/>
        <v>2620.0706</v>
      </c>
      <c r="AJ103" s="408">
        <f t="shared" si="225"/>
        <v>2677.2705999999998</v>
      </c>
      <c r="AK103" s="444">
        <f t="shared" si="225"/>
        <v>2675.0706</v>
      </c>
      <c r="AL103" s="408">
        <f t="shared" si="225"/>
        <v>2681.6705999999999</v>
      </c>
      <c r="AM103" s="444">
        <f t="shared" si="225"/>
        <v>2642.0706</v>
      </c>
      <c r="AN103" s="408">
        <f t="shared" si="225"/>
        <v>2686.0706</v>
      </c>
      <c r="AO103" s="408">
        <f t="shared" ref="AO103" si="231">AO55</f>
        <v>2708.0706</v>
      </c>
      <c r="AP103" s="444">
        <f t="shared" si="225"/>
        <v>2650.8706000000002</v>
      </c>
      <c r="AQ103" s="408">
        <f t="shared" ref="AQ103" si="232">AQ55</f>
        <v>2681.6705999999999</v>
      </c>
      <c r="AR103" s="444">
        <f t="shared" si="225"/>
        <v>2620.0706</v>
      </c>
      <c r="AS103" s="444">
        <f>AS55</f>
        <v>2653.0706</v>
      </c>
      <c r="AT103" s="408">
        <f>AT55</f>
        <v>2653.0706</v>
      </c>
    </row>
    <row r="104" spans="1:46" s="413" customFormat="1">
      <c r="A104" s="911" t="s">
        <v>881</v>
      </c>
      <c r="B104" s="912"/>
      <c r="C104" s="912"/>
      <c r="D104" s="912"/>
      <c r="E104" s="912"/>
      <c r="F104" s="912"/>
      <c r="G104" s="912"/>
      <c r="H104" s="912"/>
      <c r="I104" s="912"/>
      <c r="J104" s="913"/>
      <c r="K104" s="444">
        <f t="shared" ref="K104:AR104" si="233">K66</f>
        <v>1015.7099999999999</v>
      </c>
      <c r="L104" s="444">
        <f t="shared" si="233"/>
        <v>285.74</v>
      </c>
      <c r="M104" s="444">
        <f t="shared" si="233"/>
        <v>238.12</v>
      </c>
      <c r="N104" s="408">
        <f t="shared" si="233"/>
        <v>238.12</v>
      </c>
      <c r="O104" s="408">
        <f t="shared" si="233"/>
        <v>195.69</v>
      </c>
      <c r="P104" s="444">
        <f t="shared" si="233"/>
        <v>238.12</v>
      </c>
      <c r="Q104" s="444">
        <f t="shared" si="233"/>
        <v>238.12</v>
      </c>
      <c r="R104" s="714">
        <f t="shared" ref="R104:T104" si="234">R66</f>
        <v>238.12</v>
      </c>
      <c r="S104" s="714">
        <f t="shared" si="234"/>
        <v>264.45</v>
      </c>
      <c r="T104" s="714">
        <f t="shared" si="234"/>
        <v>238.12</v>
      </c>
      <c r="U104" s="714">
        <f t="shared" si="233"/>
        <v>264.45</v>
      </c>
      <c r="V104" s="408">
        <f t="shared" ref="V104:W104" si="235">V66</f>
        <v>238.12</v>
      </c>
      <c r="W104" s="408">
        <f t="shared" si="235"/>
        <v>238.12</v>
      </c>
      <c r="X104" s="408">
        <f t="shared" ref="X104:Y104" si="236">X66</f>
        <v>238.12</v>
      </c>
      <c r="Y104" s="408">
        <f t="shared" si="236"/>
        <v>195.69</v>
      </c>
      <c r="Z104" s="408">
        <f t="shared" ref="Z104:AA104" si="237">Z66</f>
        <v>249.99</v>
      </c>
      <c r="AA104" s="408">
        <f t="shared" si="237"/>
        <v>238.12</v>
      </c>
      <c r="AB104" s="408">
        <f t="shared" ref="AB104:AD104" si="238">AB66</f>
        <v>183.17</v>
      </c>
      <c r="AC104" s="408">
        <f t="shared" si="238"/>
        <v>150.53</v>
      </c>
      <c r="AD104" s="408">
        <f t="shared" si="238"/>
        <v>238.12</v>
      </c>
      <c r="AE104" s="444">
        <f t="shared" si="233"/>
        <v>238.12</v>
      </c>
      <c r="AF104" s="444">
        <f t="shared" si="233"/>
        <v>238.12</v>
      </c>
      <c r="AG104" s="408">
        <f t="shared" si="233"/>
        <v>238.12</v>
      </c>
      <c r="AH104" s="408">
        <f t="shared" si="233"/>
        <v>238.12</v>
      </c>
      <c r="AI104" s="444">
        <f t="shared" si="233"/>
        <v>238.12</v>
      </c>
      <c r="AJ104" s="408">
        <f t="shared" si="233"/>
        <v>238.12</v>
      </c>
      <c r="AK104" s="444">
        <f t="shared" si="233"/>
        <v>238.12</v>
      </c>
      <c r="AL104" s="408">
        <f t="shared" si="233"/>
        <v>238.12</v>
      </c>
      <c r="AM104" s="444">
        <f t="shared" si="233"/>
        <v>238.12</v>
      </c>
      <c r="AN104" s="408">
        <f t="shared" si="233"/>
        <v>238.12</v>
      </c>
      <c r="AO104" s="408">
        <f t="shared" ref="AO104" si="239">AO66</f>
        <v>238.12</v>
      </c>
      <c r="AP104" s="444">
        <f t="shared" si="233"/>
        <v>238.12</v>
      </c>
      <c r="AQ104" s="408">
        <f t="shared" ref="AQ104" si="240">AQ66</f>
        <v>238.12</v>
      </c>
      <c r="AR104" s="444">
        <f t="shared" si="233"/>
        <v>238.12</v>
      </c>
      <c r="AS104" s="444">
        <f>AS66</f>
        <v>238.12</v>
      </c>
      <c r="AT104" s="408">
        <f>AT66</f>
        <v>238.12</v>
      </c>
    </row>
    <row r="105" spans="1:46" s="413" customFormat="1">
      <c r="A105" s="911" t="s">
        <v>882</v>
      </c>
      <c r="B105" s="912"/>
      <c r="C105" s="912"/>
      <c r="D105" s="912"/>
      <c r="E105" s="912"/>
      <c r="F105" s="912"/>
      <c r="G105" s="912"/>
      <c r="H105" s="912"/>
      <c r="I105" s="912"/>
      <c r="J105" s="913"/>
      <c r="K105" s="444">
        <f t="shared" ref="K105:AR105" si="241">K90</f>
        <v>2690.5699999999997</v>
      </c>
      <c r="L105" s="444">
        <f t="shared" si="241"/>
        <v>839.3</v>
      </c>
      <c r="M105" s="444">
        <f t="shared" si="241"/>
        <v>722.44</v>
      </c>
      <c r="N105" s="408">
        <f t="shared" si="241"/>
        <v>722.44</v>
      </c>
      <c r="O105" s="408">
        <f t="shared" si="241"/>
        <v>618.34</v>
      </c>
      <c r="P105" s="444">
        <f t="shared" si="241"/>
        <v>722.44</v>
      </c>
      <c r="Q105" s="444">
        <f t="shared" si="241"/>
        <v>722.44</v>
      </c>
      <c r="R105" s="714">
        <f t="shared" ref="R105:T105" si="242">R90</f>
        <v>697.79</v>
      </c>
      <c r="S105" s="714">
        <f t="shared" si="242"/>
        <v>764.3</v>
      </c>
      <c r="T105" s="714">
        <f t="shared" si="242"/>
        <v>697.79</v>
      </c>
      <c r="U105" s="714">
        <f t="shared" si="241"/>
        <v>764.3</v>
      </c>
      <c r="V105" s="408">
        <f t="shared" ref="V105:W105" si="243">V90</f>
        <v>722.44</v>
      </c>
      <c r="W105" s="408">
        <f t="shared" si="243"/>
        <v>722.44</v>
      </c>
      <c r="X105" s="408">
        <f t="shared" ref="X105:Y105" si="244">X90</f>
        <v>722.44</v>
      </c>
      <c r="Y105" s="408">
        <f t="shared" si="244"/>
        <v>618.34</v>
      </c>
      <c r="Z105" s="408">
        <f t="shared" ref="Z105:AA105" si="245">Z90</f>
        <v>727.19999999999993</v>
      </c>
      <c r="AA105" s="408">
        <f t="shared" si="245"/>
        <v>722.44</v>
      </c>
      <c r="AB105" s="408">
        <f t="shared" ref="AB105:AD105" si="246">AB90</f>
        <v>583.59</v>
      </c>
      <c r="AC105" s="408">
        <f t="shared" si="246"/>
        <v>504.22999999999996</v>
      </c>
      <c r="AD105" s="408">
        <f t="shared" si="246"/>
        <v>712.69</v>
      </c>
      <c r="AE105" s="444">
        <f t="shared" si="241"/>
        <v>709.64</v>
      </c>
      <c r="AF105" s="444">
        <f t="shared" si="241"/>
        <v>710.66000000000008</v>
      </c>
      <c r="AG105" s="408">
        <f t="shared" si="241"/>
        <v>715.24</v>
      </c>
      <c r="AH105" s="408">
        <f t="shared" si="241"/>
        <v>715.24</v>
      </c>
      <c r="AI105" s="444">
        <f t="shared" si="241"/>
        <v>708.11</v>
      </c>
      <c r="AJ105" s="408">
        <f t="shared" si="241"/>
        <v>714.73</v>
      </c>
      <c r="AK105" s="444">
        <f t="shared" si="241"/>
        <v>714.48</v>
      </c>
      <c r="AL105" s="408">
        <f t="shared" si="241"/>
        <v>715.24</v>
      </c>
      <c r="AM105" s="444">
        <f t="shared" si="241"/>
        <v>710.66000000000008</v>
      </c>
      <c r="AN105" s="408">
        <f t="shared" si="241"/>
        <v>715.74</v>
      </c>
      <c r="AO105" s="408">
        <f t="shared" ref="AO105" si="247">AO90</f>
        <v>718.29</v>
      </c>
      <c r="AP105" s="444">
        <f t="shared" si="241"/>
        <v>711.68000000000006</v>
      </c>
      <c r="AQ105" s="408">
        <f t="shared" ref="AQ105" si="248">AQ90</f>
        <v>715.24</v>
      </c>
      <c r="AR105" s="444">
        <f t="shared" si="241"/>
        <v>708.11</v>
      </c>
      <c r="AS105" s="444">
        <f>AS90</f>
        <v>711.93</v>
      </c>
      <c r="AT105" s="408">
        <f>AT90</f>
        <v>711.93</v>
      </c>
    </row>
    <row r="106" spans="1:46" s="413" customFormat="1">
      <c r="A106" s="911" t="s">
        <v>873</v>
      </c>
      <c r="B106" s="912"/>
      <c r="C106" s="912"/>
      <c r="D106" s="912"/>
      <c r="E106" s="912"/>
      <c r="F106" s="912"/>
      <c r="G106" s="912"/>
      <c r="H106" s="912"/>
      <c r="I106" s="912"/>
      <c r="J106" s="913"/>
      <c r="K106" s="488">
        <f t="shared" ref="K106:AR106" si="249">K99</f>
        <v>305.32</v>
      </c>
      <c r="L106" s="488">
        <f t="shared" si="249"/>
        <v>305.32</v>
      </c>
      <c r="M106" s="488">
        <f t="shared" si="249"/>
        <v>305.32</v>
      </c>
      <c r="N106" s="555">
        <f t="shared" si="249"/>
        <v>305.32</v>
      </c>
      <c r="O106" s="555">
        <f t="shared" si="249"/>
        <v>305.32</v>
      </c>
      <c r="P106" s="488">
        <f>P99</f>
        <v>305.32</v>
      </c>
      <c r="Q106" s="488">
        <f t="shared" si="249"/>
        <v>305.32</v>
      </c>
      <c r="R106" s="725">
        <f t="shared" ref="R106:T106" si="250">R99</f>
        <v>305.32</v>
      </c>
      <c r="S106" s="725">
        <f t="shared" si="250"/>
        <v>305.32</v>
      </c>
      <c r="T106" s="725">
        <f t="shared" si="250"/>
        <v>305.32</v>
      </c>
      <c r="U106" s="725">
        <f t="shared" si="249"/>
        <v>305.32</v>
      </c>
      <c r="V106" s="555">
        <f t="shared" ref="V106:W106" si="251">V99</f>
        <v>305.32</v>
      </c>
      <c r="W106" s="555">
        <f t="shared" si="251"/>
        <v>305.32</v>
      </c>
      <c r="X106" s="555">
        <f t="shared" ref="X106:Y106" si="252">X99</f>
        <v>305.32</v>
      </c>
      <c r="Y106" s="555">
        <f t="shared" si="252"/>
        <v>305.32</v>
      </c>
      <c r="Z106" s="555">
        <f t="shared" ref="Z106:AA106" si="253">Z99</f>
        <v>305.32</v>
      </c>
      <c r="AA106" s="555">
        <f t="shared" si="253"/>
        <v>305.32</v>
      </c>
      <c r="AB106" s="555">
        <f t="shared" ref="AB106:AD106" si="254">AB99</f>
        <v>305.32</v>
      </c>
      <c r="AC106" s="555">
        <f t="shared" si="254"/>
        <v>305.32</v>
      </c>
      <c r="AD106" s="555">
        <f t="shared" si="254"/>
        <v>305.32</v>
      </c>
      <c r="AE106" s="488">
        <f t="shared" si="249"/>
        <v>305.32</v>
      </c>
      <c r="AF106" s="488">
        <f t="shared" si="249"/>
        <v>305.32</v>
      </c>
      <c r="AG106" s="555">
        <f t="shared" si="249"/>
        <v>305.32</v>
      </c>
      <c r="AH106" s="555">
        <f t="shared" si="249"/>
        <v>305.32</v>
      </c>
      <c r="AI106" s="488">
        <f t="shared" si="249"/>
        <v>305.32</v>
      </c>
      <c r="AJ106" s="555">
        <f t="shared" si="249"/>
        <v>305.32</v>
      </c>
      <c r="AK106" s="488">
        <f t="shared" si="249"/>
        <v>305.32</v>
      </c>
      <c r="AL106" s="555">
        <f t="shared" si="249"/>
        <v>305.32</v>
      </c>
      <c r="AM106" s="488">
        <f t="shared" si="249"/>
        <v>305.32</v>
      </c>
      <c r="AN106" s="555">
        <f t="shared" si="249"/>
        <v>305.32</v>
      </c>
      <c r="AO106" s="555">
        <f t="shared" ref="AO106" si="255">AO99</f>
        <v>305.32</v>
      </c>
      <c r="AP106" s="488">
        <f>AP99</f>
        <v>305.32</v>
      </c>
      <c r="AQ106" s="555">
        <f t="shared" ref="AQ106" si="256">AQ99</f>
        <v>305.32</v>
      </c>
      <c r="AR106" s="488">
        <f t="shared" si="249"/>
        <v>305.32</v>
      </c>
      <c r="AS106" s="488">
        <f>AS99</f>
        <v>305.32</v>
      </c>
      <c r="AT106" s="555">
        <f>AT99</f>
        <v>305.32</v>
      </c>
    </row>
    <row r="107" spans="1:46" s="413" customFormat="1">
      <c r="A107" s="977" t="s">
        <v>175</v>
      </c>
      <c r="B107" s="978"/>
      <c r="C107" s="978"/>
      <c r="D107" s="978"/>
      <c r="E107" s="978"/>
      <c r="F107" s="978"/>
      <c r="G107" s="978"/>
      <c r="H107" s="978"/>
      <c r="I107" s="978"/>
      <c r="J107" s="442"/>
      <c r="K107" s="420">
        <f t="shared" ref="K107:AR107" si="257">SUM(K102:K106)</f>
        <v>26273.344999999998</v>
      </c>
      <c r="L107" s="420">
        <f t="shared" si="257"/>
        <v>8405.7818000000007</v>
      </c>
      <c r="M107" s="420">
        <f t="shared" si="257"/>
        <v>7277.9785999999986</v>
      </c>
      <c r="N107" s="412">
        <f t="shared" si="257"/>
        <v>7277.9785999999986</v>
      </c>
      <c r="O107" s="412">
        <f t="shared" si="257"/>
        <v>6273.2825999999995</v>
      </c>
      <c r="P107" s="420">
        <f t="shared" si="257"/>
        <v>7277.9785999999986</v>
      </c>
      <c r="Q107" s="420">
        <f t="shared" si="257"/>
        <v>7277.9785999999986</v>
      </c>
      <c r="R107" s="715">
        <f t="shared" ref="R107:T107" si="258">SUM(R102:R106)</f>
        <v>7040.0105999999996</v>
      </c>
      <c r="S107" s="715">
        <f t="shared" si="258"/>
        <v>7682.0019890909098</v>
      </c>
      <c r="T107" s="715">
        <f t="shared" si="258"/>
        <v>7040.0105999999996</v>
      </c>
      <c r="U107" s="715">
        <f t="shared" si="257"/>
        <v>7682.0019890909098</v>
      </c>
      <c r="V107" s="412">
        <f t="shared" ref="V107:W107" si="259">SUM(V102:V106)</f>
        <v>7277.9785999999986</v>
      </c>
      <c r="W107" s="412">
        <f t="shared" si="259"/>
        <v>7277.9785999999986</v>
      </c>
      <c r="X107" s="412">
        <f t="shared" ref="X107:Y107" si="260">SUM(X102:X106)</f>
        <v>7277.9785999999986</v>
      </c>
      <c r="Y107" s="412">
        <f t="shared" si="260"/>
        <v>6273.2825999999995</v>
      </c>
      <c r="Z107" s="412">
        <f t="shared" ref="Z107:AA107" si="261">SUM(Z102:Z106)</f>
        <v>7323.861899999999</v>
      </c>
      <c r="AA107" s="412">
        <f t="shared" si="261"/>
        <v>7277.9785999999986</v>
      </c>
      <c r="AB107" s="412">
        <f t="shared" ref="AB107:AD107" si="262">SUM(AB102:AB106)</f>
        <v>5937.8385999999991</v>
      </c>
      <c r="AC107" s="412">
        <f t="shared" si="262"/>
        <v>5171.9025999999994</v>
      </c>
      <c r="AD107" s="412">
        <f t="shared" si="262"/>
        <v>7183.8805999999986</v>
      </c>
      <c r="AE107" s="420">
        <f t="shared" si="257"/>
        <v>7154.4305999999997</v>
      </c>
      <c r="AF107" s="420">
        <f t="shared" si="257"/>
        <v>7164.2505999999994</v>
      </c>
      <c r="AG107" s="412">
        <f t="shared" si="257"/>
        <v>7208.4305999999988</v>
      </c>
      <c r="AH107" s="412">
        <f t="shared" si="257"/>
        <v>7208.4305999999988</v>
      </c>
      <c r="AI107" s="420">
        <f t="shared" si="257"/>
        <v>7139.7005999999992</v>
      </c>
      <c r="AJ107" s="412">
        <f t="shared" si="257"/>
        <v>7203.5205999999998</v>
      </c>
      <c r="AK107" s="420">
        <f t="shared" si="257"/>
        <v>7201.0705999999991</v>
      </c>
      <c r="AL107" s="412">
        <f t="shared" si="257"/>
        <v>7208.4305999999988</v>
      </c>
      <c r="AM107" s="420">
        <f t="shared" si="257"/>
        <v>7164.2505999999994</v>
      </c>
      <c r="AN107" s="412">
        <f t="shared" si="257"/>
        <v>7213.3305999999993</v>
      </c>
      <c r="AO107" s="412">
        <f t="shared" ref="AO107" si="263">SUM(AO102:AO106)</f>
        <v>7237.8805999999995</v>
      </c>
      <c r="AP107" s="420">
        <f t="shared" si="257"/>
        <v>7174.0706</v>
      </c>
      <c r="AQ107" s="412">
        <f t="shared" ref="AQ107" si="264">SUM(AQ102:AQ106)</f>
        <v>7208.4305999999988</v>
      </c>
      <c r="AR107" s="420">
        <f t="shared" si="257"/>
        <v>7139.7005999999992</v>
      </c>
      <c r="AS107" s="420">
        <f>SUM(AS102:AS106)</f>
        <v>7176.5205999999998</v>
      </c>
      <c r="AT107" s="412">
        <f>SUM(AT102:AT106)</f>
        <v>7176.5205999999998</v>
      </c>
    </row>
    <row r="108" spans="1:46" s="413" customFormat="1" ht="51" customHeight="1">
      <c r="K108" s="414"/>
      <c r="L108" s="414"/>
      <c r="M108" s="477"/>
      <c r="P108" s="414"/>
      <c r="Q108" s="414"/>
      <c r="R108" s="585"/>
      <c r="S108" s="585"/>
      <c r="T108" s="585"/>
      <c r="U108" s="585"/>
      <c r="AE108" s="477"/>
      <c r="AF108" s="414"/>
      <c r="AI108" s="414"/>
      <c r="AK108" s="414"/>
      <c r="AM108" s="414"/>
      <c r="AP108" s="414"/>
      <c r="AR108" s="414"/>
      <c r="AS108" s="414"/>
    </row>
    <row r="109" spans="1:46" s="413" customFormat="1">
      <c r="A109" s="899" t="s">
        <v>222</v>
      </c>
      <c r="B109" s="900"/>
      <c r="C109" s="900"/>
      <c r="D109" s="900"/>
      <c r="E109" s="900"/>
      <c r="F109" s="900"/>
      <c r="G109" s="900"/>
      <c r="H109" s="900"/>
      <c r="I109" s="900"/>
      <c r="J109" s="901"/>
      <c r="K109" s="902" t="s">
        <v>830</v>
      </c>
      <c r="L109" s="902" t="s">
        <v>830</v>
      </c>
      <c r="M109" s="902" t="s">
        <v>830</v>
      </c>
      <c r="N109" s="875" t="s">
        <v>830</v>
      </c>
      <c r="O109" s="875" t="s">
        <v>830</v>
      </c>
      <c r="P109" s="902" t="s">
        <v>830</v>
      </c>
      <c r="Q109" s="902" t="s">
        <v>830</v>
      </c>
      <c r="R109" s="914" t="s">
        <v>830</v>
      </c>
      <c r="S109" s="914" t="s">
        <v>830</v>
      </c>
      <c r="T109" s="914" t="s">
        <v>830</v>
      </c>
      <c r="U109" s="914" t="s">
        <v>830</v>
      </c>
      <c r="V109" s="875" t="s">
        <v>830</v>
      </c>
      <c r="W109" s="875" t="s">
        <v>830</v>
      </c>
      <c r="X109" s="875" t="s">
        <v>830</v>
      </c>
      <c r="Y109" s="875" t="s">
        <v>830</v>
      </c>
      <c r="Z109" s="875" t="s">
        <v>830</v>
      </c>
      <c r="AA109" s="875" t="s">
        <v>830</v>
      </c>
      <c r="AB109" s="875" t="s">
        <v>830</v>
      </c>
      <c r="AC109" s="875" t="s">
        <v>830</v>
      </c>
      <c r="AD109" s="875" t="s">
        <v>830</v>
      </c>
      <c r="AE109" s="916" t="s">
        <v>830</v>
      </c>
      <c r="AF109" s="902" t="s">
        <v>830</v>
      </c>
      <c r="AG109" s="875" t="s">
        <v>830</v>
      </c>
      <c r="AH109" s="875" t="s">
        <v>830</v>
      </c>
      <c r="AI109" s="902" t="s">
        <v>830</v>
      </c>
      <c r="AJ109" s="875" t="s">
        <v>830</v>
      </c>
      <c r="AK109" s="902" t="s">
        <v>830</v>
      </c>
      <c r="AL109" s="875" t="s">
        <v>830</v>
      </c>
      <c r="AM109" s="902" t="s">
        <v>830</v>
      </c>
      <c r="AN109" s="875" t="s">
        <v>830</v>
      </c>
      <c r="AO109" s="875" t="s">
        <v>830</v>
      </c>
      <c r="AP109" s="902" t="s">
        <v>830</v>
      </c>
      <c r="AQ109" s="875" t="s">
        <v>830</v>
      </c>
      <c r="AR109" s="902" t="s">
        <v>830</v>
      </c>
      <c r="AS109" s="902" t="s">
        <v>830</v>
      </c>
      <c r="AT109" s="875" t="s">
        <v>830</v>
      </c>
    </row>
    <row r="110" spans="1:46" s="413" customFormat="1">
      <c r="A110" s="943" t="s">
        <v>223</v>
      </c>
      <c r="B110" s="944"/>
      <c r="C110" s="944"/>
      <c r="D110" s="944"/>
      <c r="E110" s="944"/>
      <c r="F110" s="944"/>
      <c r="G110" s="944"/>
      <c r="H110" s="944"/>
      <c r="I110" s="944"/>
      <c r="J110" s="392" t="s">
        <v>224</v>
      </c>
      <c r="K110" s="903"/>
      <c r="L110" s="903"/>
      <c r="M110" s="903"/>
      <c r="N110" s="876"/>
      <c r="O110" s="876"/>
      <c r="P110" s="903"/>
      <c r="Q110" s="903"/>
      <c r="R110" s="915"/>
      <c r="S110" s="915"/>
      <c r="T110" s="915"/>
      <c r="U110" s="915"/>
      <c r="V110" s="876"/>
      <c r="W110" s="876"/>
      <c r="X110" s="876"/>
      <c r="Y110" s="876"/>
      <c r="Z110" s="876"/>
      <c r="AA110" s="876"/>
      <c r="AB110" s="876"/>
      <c r="AC110" s="876"/>
      <c r="AD110" s="876"/>
      <c r="AE110" s="917"/>
      <c r="AF110" s="903"/>
      <c r="AG110" s="876"/>
      <c r="AH110" s="876"/>
      <c r="AI110" s="903"/>
      <c r="AJ110" s="876"/>
      <c r="AK110" s="903"/>
      <c r="AL110" s="876"/>
      <c r="AM110" s="903"/>
      <c r="AN110" s="876"/>
      <c r="AO110" s="876"/>
      <c r="AP110" s="903"/>
      <c r="AQ110" s="876"/>
      <c r="AR110" s="903"/>
      <c r="AS110" s="903"/>
      <c r="AT110" s="876"/>
    </row>
    <row r="111" spans="1:46" s="413" customFormat="1" ht="29.25" customHeight="1">
      <c r="A111" s="406" t="s">
        <v>157</v>
      </c>
      <c r="B111" s="949" t="s">
        <v>883</v>
      </c>
      <c r="C111" s="950"/>
      <c r="D111" s="950"/>
      <c r="E111" s="950"/>
      <c r="F111" s="950"/>
      <c r="G111" s="950"/>
      <c r="H111" s="950"/>
      <c r="I111" s="951"/>
      <c r="J111" s="644">
        <f>'Dados - Composição PCFP'!$G$112</f>
        <v>0.03</v>
      </c>
      <c r="K111" s="562">
        <f t="shared" ref="K111:AR111" si="265">ROUND($J111*K$107,2)</f>
        <v>788.2</v>
      </c>
      <c r="L111" s="562">
        <f t="shared" si="265"/>
        <v>252.17</v>
      </c>
      <c r="M111" s="562">
        <f t="shared" si="265"/>
        <v>218.34</v>
      </c>
      <c r="N111" s="561">
        <f t="shared" si="265"/>
        <v>218.34</v>
      </c>
      <c r="O111" s="561">
        <f t="shared" si="265"/>
        <v>188.2</v>
      </c>
      <c r="P111" s="562">
        <f t="shared" si="265"/>
        <v>218.34</v>
      </c>
      <c r="Q111" s="562">
        <f t="shared" si="265"/>
        <v>218.34</v>
      </c>
      <c r="R111" s="726">
        <f t="shared" si="265"/>
        <v>211.2</v>
      </c>
      <c r="S111" s="726">
        <f t="shared" si="265"/>
        <v>230.46</v>
      </c>
      <c r="T111" s="726">
        <f t="shared" si="265"/>
        <v>211.2</v>
      </c>
      <c r="U111" s="726">
        <f t="shared" si="265"/>
        <v>230.46</v>
      </c>
      <c r="V111" s="561">
        <f t="shared" si="265"/>
        <v>218.34</v>
      </c>
      <c r="W111" s="561">
        <f t="shared" si="265"/>
        <v>218.34</v>
      </c>
      <c r="X111" s="561">
        <f t="shared" si="265"/>
        <v>218.34</v>
      </c>
      <c r="Y111" s="561">
        <f t="shared" si="265"/>
        <v>188.2</v>
      </c>
      <c r="Z111" s="561">
        <f t="shared" si="265"/>
        <v>219.72</v>
      </c>
      <c r="AA111" s="561">
        <f t="shared" si="265"/>
        <v>218.34</v>
      </c>
      <c r="AB111" s="561">
        <f t="shared" si="265"/>
        <v>178.14</v>
      </c>
      <c r="AC111" s="561">
        <f t="shared" si="265"/>
        <v>155.16</v>
      </c>
      <c r="AD111" s="561">
        <f t="shared" si="265"/>
        <v>215.52</v>
      </c>
      <c r="AE111" s="407">
        <f t="shared" si="265"/>
        <v>214.63</v>
      </c>
      <c r="AF111" s="562">
        <f t="shared" si="265"/>
        <v>214.93</v>
      </c>
      <c r="AG111" s="561">
        <f t="shared" si="265"/>
        <v>216.25</v>
      </c>
      <c r="AH111" s="561">
        <f t="shared" si="265"/>
        <v>216.25</v>
      </c>
      <c r="AI111" s="562">
        <f t="shared" si="265"/>
        <v>214.19</v>
      </c>
      <c r="AJ111" s="561">
        <f t="shared" si="265"/>
        <v>216.11</v>
      </c>
      <c r="AK111" s="562">
        <f t="shared" si="265"/>
        <v>216.03</v>
      </c>
      <c r="AL111" s="561">
        <f t="shared" si="265"/>
        <v>216.25</v>
      </c>
      <c r="AM111" s="562">
        <f t="shared" si="265"/>
        <v>214.93</v>
      </c>
      <c r="AN111" s="561">
        <f t="shared" si="265"/>
        <v>216.4</v>
      </c>
      <c r="AO111" s="561">
        <f t="shared" si="265"/>
        <v>217.14</v>
      </c>
      <c r="AP111" s="562">
        <f t="shared" si="265"/>
        <v>215.22</v>
      </c>
      <c r="AQ111" s="561">
        <f t="shared" si="265"/>
        <v>216.25</v>
      </c>
      <c r="AR111" s="562">
        <f t="shared" si="265"/>
        <v>214.19</v>
      </c>
      <c r="AS111" s="562">
        <f>ROUND($J111*AS$107,2)</f>
        <v>215.3</v>
      </c>
      <c r="AT111" s="561">
        <f>ROUND($J111*AT$107,2)</f>
        <v>215.3</v>
      </c>
    </row>
    <row r="112" spans="1:46" s="413" customFormat="1" ht="55.5" customHeight="1">
      <c r="A112" s="406" t="s">
        <v>159</v>
      </c>
      <c r="B112" s="949" t="s">
        <v>884</v>
      </c>
      <c r="C112" s="937"/>
      <c r="D112" s="937"/>
      <c r="E112" s="937"/>
      <c r="F112" s="937"/>
      <c r="G112" s="937"/>
      <c r="H112" s="937"/>
      <c r="I112" s="972"/>
      <c r="J112" s="644">
        <f>'Dados - Composição PCFP'!$G$113</f>
        <v>6.7900000000000002E-2</v>
      </c>
      <c r="K112" s="562">
        <f t="shared" ref="K112:AR112" si="266">ROUND($J112*(K$107+K$111),2)</f>
        <v>1837.48</v>
      </c>
      <c r="L112" s="562">
        <f t="shared" si="266"/>
        <v>587.87</v>
      </c>
      <c r="M112" s="562">
        <f t="shared" si="266"/>
        <v>509</v>
      </c>
      <c r="N112" s="561">
        <f t="shared" si="266"/>
        <v>509</v>
      </c>
      <c r="O112" s="561">
        <f t="shared" si="266"/>
        <v>438.73</v>
      </c>
      <c r="P112" s="562">
        <f t="shared" si="266"/>
        <v>509</v>
      </c>
      <c r="Q112" s="562">
        <f t="shared" si="266"/>
        <v>509</v>
      </c>
      <c r="R112" s="726">
        <f t="shared" si="266"/>
        <v>492.36</v>
      </c>
      <c r="S112" s="726">
        <f t="shared" si="266"/>
        <v>537.26</v>
      </c>
      <c r="T112" s="726">
        <f t="shared" si="266"/>
        <v>492.36</v>
      </c>
      <c r="U112" s="726">
        <f t="shared" si="266"/>
        <v>537.26</v>
      </c>
      <c r="V112" s="561">
        <f t="shared" si="266"/>
        <v>509</v>
      </c>
      <c r="W112" s="561">
        <f t="shared" si="266"/>
        <v>509</v>
      </c>
      <c r="X112" s="561">
        <f t="shared" si="266"/>
        <v>509</v>
      </c>
      <c r="Y112" s="561">
        <f t="shared" si="266"/>
        <v>438.73</v>
      </c>
      <c r="Z112" s="561">
        <f t="shared" si="266"/>
        <v>512.21</v>
      </c>
      <c r="AA112" s="561">
        <f t="shared" si="266"/>
        <v>509</v>
      </c>
      <c r="AB112" s="561">
        <f t="shared" si="266"/>
        <v>415.27</v>
      </c>
      <c r="AC112" s="561">
        <f t="shared" si="266"/>
        <v>361.71</v>
      </c>
      <c r="AD112" s="561">
        <f t="shared" si="266"/>
        <v>502.42</v>
      </c>
      <c r="AE112" s="407">
        <f t="shared" si="266"/>
        <v>500.36</v>
      </c>
      <c r="AF112" s="562">
        <f t="shared" si="266"/>
        <v>501.05</v>
      </c>
      <c r="AG112" s="561">
        <f t="shared" si="266"/>
        <v>504.14</v>
      </c>
      <c r="AH112" s="561">
        <f t="shared" si="266"/>
        <v>504.14</v>
      </c>
      <c r="AI112" s="562">
        <f t="shared" si="266"/>
        <v>499.33</v>
      </c>
      <c r="AJ112" s="561">
        <f t="shared" si="266"/>
        <v>503.79</v>
      </c>
      <c r="AK112" s="562">
        <f t="shared" si="266"/>
        <v>503.62</v>
      </c>
      <c r="AL112" s="561">
        <f t="shared" si="266"/>
        <v>504.14</v>
      </c>
      <c r="AM112" s="562">
        <f t="shared" si="266"/>
        <v>501.05</v>
      </c>
      <c r="AN112" s="561">
        <f t="shared" si="266"/>
        <v>504.48</v>
      </c>
      <c r="AO112" s="561">
        <f t="shared" si="266"/>
        <v>506.2</v>
      </c>
      <c r="AP112" s="562">
        <f t="shared" si="266"/>
        <v>501.73</v>
      </c>
      <c r="AQ112" s="561">
        <f t="shared" si="266"/>
        <v>504.14</v>
      </c>
      <c r="AR112" s="562">
        <f t="shared" si="266"/>
        <v>499.33</v>
      </c>
      <c r="AS112" s="562">
        <f>ROUND($J112*(AS$107+AS$111),2)</f>
        <v>501.9</v>
      </c>
      <c r="AT112" s="561">
        <f>ROUND($J112*(AT$107+AT$111),2)</f>
        <v>501.9</v>
      </c>
    </row>
    <row r="113" spans="1:46" s="413" customFormat="1">
      <c r="A113" s="969" t="s">
        <v>161</v>
      </c>
      <c r="B113" s="964" t="s">
        <v>227</v>
      </c>
      <c r="C113" s="965"/>
      <c r="D113" s="965"/>
      <c r="E113" s="965"/>
      <c r="F113" s="965"/>
      <c r="G113" s="965"/>
      <c r="H113" s="965"/>
      <c r="I113" s="966"/>
      <c r="J113" s="645"/>
      <c r="K113" s="489">
        <f>ROUND(($J114+$J115+$J116+K117)/(1-($J114+$J115+$J116+K117))*(K107+K111+K112),2)</f>
        <v>3663.26</v>
      </c>
      <c r="L113" s="489">
        <f>ROUND(($J114+$J115+$J116+L117)/(1-($J114+$J115+$J116+L117))*(L107+L111+L112),2)</f>
        <v>1172.01</v>
      </c>
      <c r="M113" s="489">
        <f>ROUND(($J114+$J115+$J116+M117)/(1-($J114+$J115+$J116+M117))*(M107+M111+M112),2)</f>
        <v>1014.76</v>
      </c>
      <c r="N113" s="490">
        <f>ROUND(($J114+$J115+$J116+N117)/(1-($J114+$J115+$J116+N117))*(N107+N111+N112),2)</f>
        <v>1014.76</v>
      </c>
      <c r="O113" s="490">
        <f>ROUND(($J114+$J115+$J116+O117)/(1-($J114+$J115+$J116+O117))*(O107+O111+O112),2)</f>
        <v>874.67</v>
      </c>
      <c r="P113" s="489">
        <f t="shared" ref="P113:AR113" si="267">ROUND(($J114+$J115+$J116+P117)/(1-($J114+$J115+$J116+P117))*(P107+P111+P112),2)</f>
        <v>1014.76</v>
      </c>
      <c r="Q113" s="489">
        <f t="shared" si="267"/>
        <v>1014.76</v>
      </c>
      <c r="R113" s="727">
        <f t="shared" ref="R113:T113" si="268">ROUND(($J114+$J115+$J116+R117)/(1-($J114+$J115+$J116+R117))*(R107+R111+R112),2)</f>
        <v>981.58</v>
      </c>
      <c r="S113" s="727">
        <f t="shared" si="268"/>
        <v>1071.0899999999999</v>
      </c>
      <c r="T113" s="727">
        <f t="shared" si="268"/>
        <v>981.58</v>
      </c>
      <c r="U113" s="727">
        <f t="shared" si="267"/>
        <v>1071.0899999999999</v>
      </c>
      <c r="V113" s="490">
        <f t="shared" ref="V113:W113" si="269">ROUND(($J114+$J115+$J116+V117)/(1-($J114+$J115+$J116+V117))*(V107+V111+V112),2)</f>
        <v>1014.76</v>
      </c>
      <c r="W113" s="490">
        <f t="shared" si="269"/>
        <v>1014.76</v>
      </c>
      <c r="X113" s="490">
        <f t="shared" ref="X113:Y113" si="270">ROUND(($J114+$J115+$J116+X117)/(1-($J114+$J115+$J116+X117))*(X107+X111+X112),2)</f>
        <v>1014.76</v>
      </c>
      <c r="Y113" s="490">
        <f t="shared" si="270"/>
        <v>874.67</v>
      </c>
      <c r="Z113" s="490">
        <f t="shared" ref="Z113:AA113" si="271">ROUND(($J114+$J115+$J116+Z117)/(1-($J114+$J115+$J116+Z117))*(Z107+Z111+Z112),2)</f>
        <v>1021.16</v>
      </c>
      <c r="AA113" s="490">
        <f t="shared" si="271"/>
        <v>1014.76</v>
      </c>
      <c r="AB113" s="490">
        <f t="shared" ref="AB113:AD113" si="272">ROUND(($J114+$J115+$J116+AB117)/(1-($J114+$J115+$J116+AB117))*(AB107+AB111+AB112),2)</f>
        <v>827.9</v>
      </c>
      <c r="AC113" s="490">
        <f t="shared" si="272"/>
        <v>721.11</v>
      </c>
      <c r="AD113" s="490">
        <f t="shared" si="272"/>
        <v>1206.9100000000001</v>
      </c>
      <c r="AE113" s="787">
        <f t="shared" si="267"/>
        <v>1098.58</v>
      </c>
      <c r="AF113" s="489">
        <f t="shared" si="267"/>
        <v>998.9</v>
      </c>
      <c r="AG113" s="490">
        <f t="shared" si="267"/>
        <v>1317.62</v>
      </c>
      <c r="AH113" s="490">
        <f t="shared" si="267"/>
        <v>1317.62</v>
      </c>
      <c r="AI113" s="489">
        <f t="shared" si="267"/>
        <v>1305.05</v>
      </c>
      <c r="AJ113" s="490">
        <f t="shared" si="267"/>
        <v>1106.1199999999999</v>
      </c>
      <c r="AK113" s="489">
        <f t="shared" si="267"/>
        <v>1105.74</v>
      </c>
      <c r="AL113" s="490">
        <f t="shared" si="267"/>
        <v>1317.62</v>
      </c>
      <c r="AM113" s="489">
        <f t="shared" si="267"/>
        <v>1309.54</v>
      </c>
      <c r="AN113" s="490">
        <f t="shared" si="267"/>
        <v>1005.75</v>
      </c>
      <c r="AO113" s="490">
        <f t="shared" ref="AO113" si="273">ROUND(($J114+$J115+$J116+AO117)/(1-($J114+$J115+$J116+AO117))*(AO107+AO111+AO112),2)</f>
        <v>1323</v>
      </c>
      <c r="AP113" s="489">
        <f t="shared" si="267"/>
        <v>1101.5999999999999</v>
      </c>
      <c r="AQ113" s="490">
        <f t="shared" ref="AQ113" si="274">ROUND(($J114+$J115+$J116+AQ117)/(1-($J114+$J115+$J116+AQ117))*(AQ107+AQ111+AQ112),2)</f>
        <v>1317.62</v>
      </c>
      <c r="AR113" s="489">
        <f t="shared" si="267"/>
        <v>1305.05</v>
      </c>
      <c r="AS113" s="489">
        <f>ROUND(($J114+$J115+$J116+AS117)/(1-($J114+$J115+$J116+AS117))*(AS107+AS111+AS112),2)</f>
        <v>1205.67</v>
      </c>
      <c r="AT113" s="490">
        <f>ROUND(($J114+$J115+$J116+AT117)/(1-($J114+$J115+$J116+AT117))*(AT107+AT111+AT112),2)</f>
        <v>1205.67</v>
      </c>
    </row>
    <row r="114" spans="1:46" s="413" customFormat="1">
      <c r="A114" s="970"/>
      <c r="B114" s="958" t="s">
        <v>228</v>
      </c>
      <c r="C114" s="959"/>
      <c r="D114" s="959"/>
      <c r="E114" s="960"/>
      <c r="F114" s="423" t="s">
        <v>229</v>
      </c>
      <c r="G114" s="441"/>
      <c r="H114" s="441"/>
      <c r="I114" s="442"/>
      <c r="J114" s="646">
        <f>'Dados - Composição PCFP'!$G$115</f>
        <v>1.6500000000000001E-2</v>
      </c>
      <c r="K114" s="491">
        <f>ROUND(($J114)*K129,2)</f>
        <v>537.28</v>
      </c>
      <c r="L114" s="491">
        <f>ROUND(($J114)*L129,2)</f>
        <v>171.89</v>
      </c>
      <c r="M114" s="491">
        <f>ROUND(($J114)*M129,2)</f>
        <v>148.83000000000001</v>
      </c>
      <c r="N114" s="492">
        <f>ROUND(($J$114)*N129,2)</f>
        <v>148.83000000000001</v>
      </c>
      <c r="O114" s="492">
        <f>ROUND(($J$114)*O129,2)</f>
        <v>128.29</v>
      </c>
      <c r="P114" s="491">
        <f>ROUND(($J114)*P129,2)</f>
        <v>148.83000000000001</v>
      </c>
      <c r="Q114" s="491">
        <f>ROUND(($J114)*Q129,2)</f>
        <v>148.83000000000001</v>
      </c>
      <c r="R114" s="728">
        <f t="shared" ref="R114:T114" si="275">ROUND(($J$114)*R129,2)</f>
        <v>143.96</v>
      </c>
      <c r="S114" s="728">
        <f t="shared" si="275"/>
        <v>157.09</v>
      </c>
      <c r="T114" s="728">
        <f t="shared" si="275"/>
        <v>143.96</v>
      </c>
      <c r="U114" s="728">
        <f t="shared" ref="U114:AD114" si="276">ROUND(($J$114)*U129,2)</f>
        <v>157.09</v>
      </c>
      <c r="V114" s="492">
        <f t="shared" si="276"/>
        <v>148.83000000000001</v>
      </c>
      <c r="W114" s="492">
        <f t="shared" si="276"/>
        <v>148.83000000000001</v>
      </c>
      <c r="X114" s="492">
        <f t="shared" si="276"/>
        <v>148.83000000000001</v>
      </c>
      <c r="Y114" s="492">
        <f t="shared" si="276"/>
        <v>128.29</v>
      </c>
      <c r="Z114" s="492">
        <f t="shared" si="276"/>
        <v>149.77000000000001</v>
      </c>
      <c r="AA114" s="492">
        <f t="shared" si="276"/>
        <v>148.83000000000001</v>
      </c>
      <c r="AB114" s="492">
        <f t="shared" si="276"/>
        <v>121.43</v>
      </c>
      <c r="AC114" s="492">
        <f t="shared" ref="AC114" si="277">ROUND(($J$114)*AC129,2)</f>
        <v>105.76</v>
      </c>
      <c r="AD114" s="492">
        <f t="shared" si="276"/>
        <v>150.29</v>
      </c>
      <c r="AE114" s="788">
        <f>ROUND(($J114)*AE129,2)</f>
        <v>147.97</v>
      </c>
      <c r="AF114" s="491">
        <f>ROUND(($J114)*AF129,2)</f>
        <v>146.51</v>
      </c>
      <c r="AG114" s="492">
        <f>ROUND(($J$114)*AG129,2)</f>
        <v>152.57</v>
      </c>
      <c r="AH114" s="492">
        <f>ROUND(($J$114)*AH129,2)</f>
        <v>152.57</v>
      </c>
      <c r="AI114" s="491">
        <f>ROUND(($J114)*AI129,2)</f>
        <v>151.11000000000001</v>
      </c>
      <c r="AJ114" s="492">
        <f>ROUND(($J$114)*AJ129,2)</f>
        <v>148.99</v>
      </c>
      <c r="AK114" s="491">
        <f>ROUND(($J114)*AK129,2)</f>
        <v>148.94</v>
      </c>
      <c r="AL114" s="492">
        <f>ROUND(($J$114)*AL129,2)</f>
        <v>152.57</v>
      </c>
      <c r="AM114" s="491">
        <f>ROUND(($J114)*AM129,2)</f>
        <v>151.63</v>
      </c>
      <c r="AN114" s="492">
        <f>ROUND(($J$114)*AN129,2)</f>
        <v>147.51</v>
      </c>
      <c r="AO114" s="492">
        <f>ROUND(($J$114)*AO129,2)</f>
        <v>153.19</v>
      </c>
      <c r="AP114" s="491">
        <f>ROUND(($J114)*AP129,2)</f>
        <v>148.38</v>
      </c>
      <c r="AQ114" s="492">
        <f>ROUND(($J$114)*AQ129,2)</f>
        <v>152.57</v>
      </c>
      <c r="AR114" s="491">
        <f>ROUND(($J114)*AR129,2)</f>
        <v>151.11000000000001</v>
      </c>
      <c r="AS114" s="491">
        <f>ROUND(($J114)*AS129,2)</f>
        <v>150.13999999999999</v>
      </c>
      <c r="AT114" s="492">
        <f>ROUND(($J$114)*AT129,2)</f>
        <v>150.13999999999999</v>
      </c>
    </row>
    <row r="115" spans="1:46" s="413" customFormat="1">
      <c r="A115" s="970"/>
      <c r="B115" s="985"/>
      <c r="C115" s="986"/>
      <c r="D115" s="986"/>
      <c r="E115" s="987"/>
      <c r="F115" s="423" t="s">
        <v>230</v>
      </c>
      <c r="G115" s="441"/>
      <c r="H115" s="441"/>
      <c r="I115" s="442"/>
      <c r="J115" s="646">
        <f>'Dados - Composição PCFP'!$G$116</f>
        <v>7.5999999999999998E-2</v>
      </c>
      <c r="K115" s="491">
        <f>ROUND(($J115)*K129,2)</f>
        <v>2474.73</v>
      </c>
      <c r="L115" s="491">
        <f>ROUND(($J115)*L129,2)</f>
        <v>791.76</v>
      </c>
      <c r="M115" s="491">
        <f>ROUND(($J115)*M129,2)</f>
        <v>685.53</v>
      </c>
      <c r="N115" s="492">
        <f>ROUND(($J$115)*N129,2)</f>
        <v>685.53</v>
      </c>
      <c r="O115" s="492">
        <f>ROUND(($J$115)*O129,2)</f>
        <v>590.89</v>
      </c>
      <c r="P115" s="491">
        <f>ROUND(($J115)*P129,2)</f>
        <v>685.53</v>
      </c>
      <c r="Q115" s="491">
        <f>ROUND(($J115)*Q129,2)</f>
        <v>685.53</v>
      </c>
      <c r="R115" s="728">
        <f t="shared" ref="R115:T115" si="278">ROUND(($J$115)*R129,2)</f>
        <v>663.11</v>
      </c>
      <c r="S115" s="728">
        <f t="shared" si="278"/>
        <v>723.58</v>
      </c>
      <c r="T115" s="728">
        <f t="shared" si="278"/>
        <v>663.11</v>
      </c>
      <c r="U115" s="728">
        <f t="shared" ref="U115:AD115" si="279">ROUND(($J$115)*U129,2)</f>
        <v>723.58</v>
      </c>
      <c r="V115" s="492">
        <f t="shared" si="279"/>
        <v>685.53</v>
      </c>
      <c r="W115" s="492">
        <f t="shared" si="279"/>
        <v>685.53</v>
      </c>
      <c r="X115" s="492">
        <f t="shared" si="279"/>
        <v>685.53</v>
      </c>
      <c r="Y115" s="492">
        <f t="shared" si="279"/>
        <v>590.89</v>
      </c>
      <c r="Z115" s="492">
        <f t="shared" si="279"/>
        <v>689.85</v>
      </c>
      <c r="AA115" s="492">
        <f t="shared" si="279"/>
        <v>685.53</v>
      </c>
      <c r="AB115" s="492">
        <f t="shared" si="279"/>
        <v>559.29999999999995</v>
      </c>
      <c r="AC115" s="492">
        <f t="shared" ref="AC115" si="280">ROUND(($J$115)*AC129,2)</f>
        <v>487.15</v>
      </c>
      <c r="AD115" s="492">
        <f t="shared" si="279"/>
        <v>692.26</v>
      </c>
      <c r="AE115" s="788">
        <f>ROUND(($J115)*AE129,2)</f>
        <v>681.57</v>
      </c>
      <c r="AF115" s="491">
        <f>ROUND(($J115)*AF129,2)</f>
        <v>674.81</v>
      </c>
      <c r="AG115" s="492">
        <f>ROUND(($J$115)*AG129,2)</f>
        <v>702.73</v>
      </c>
      <c r="AH115" s="492">
        <f>ROUND(($J$115)*AH129,2)</f>
        <v>702.73</v>
      </c>
      <c r="AI115" s="491">
        <f>ROUND(($J115)*AI129,2)</f>
        <v>696.03</v>
      </c>
      <c r="AJ115" s="492">
        <f>ROUND(($J$115)*AJ129,2)</f>
        <v>686.25</v>
      </c>
      <c r="AK115" s="491">
        <f>ROUND(($J115)*AK129,2)</f>
        <v>686.01</v>
      </c>
      <c r="AL115" s="492">
        <f>ROUND(($J$115)*AL129,2)</f>
        <v>702.73</v>
      </c>
      <c r="AM115" s="491">
        <f>ROUND(($J115)*AM129,2)</f>
        <v>698.42</v>
      </c>
      <c r="AN115" s="492">
        <f>ROUND(($J$115)*AN129,2)</f>
        <v>679.44</v>
      </c>
      <c r="AO115" s="492">
        <f>ROUND(($J$115)*AO129,2)</f>
        <v>705.6</v>
      </c>
      <c r="AP115" s="491">
        <f>ROUND(($J115)*AP129,2)</f>
        <v>683.44</v>
      </c>
      <c r="AQ115" s="492">
        <f>ROUND(($J$115)*AQ129,2)</f>
        <v>702.73</v>
      </c>
      <c r="AR115" s="491">
        <f>ROUND(($J115)*AR129,2)</f>
        <v>696.03</v>
      </c>
      <c r="AS115" s="491">
        <f>ROUND(($J115)*AS129,2)</f>
        <v>691.55</v>
      </c>
      <c r="AT115" s="492">
        <f>ROUND(($J$115)*AT129,2)</f>
        <v>691.55</v>
      </c>
    </row>
    <row r="116" spans="1:46" s="413" customFormat="1">
      <c r="A116" s="971"/>
      <c r="B116" s="961"/>
      <c r="C116" s="962"/>
      <c r="D116" s="962"/>
      <c r="E116" s="963"/>
      <c r="F116" s="423" t="s">
        <v>231</v>
      </c>
      <c r="G116" s="559"/>
      <c r="H116" s="559"/>
      <c r="I116" s="493"/>
      <c r="J116" s="646">
        <f>'Dados - Composição PCFP'!$G$117</f>
        <v>0</v>
      </c>
      <c r="K116" s="494">
        <f>ROUND($J116*K129,2)</f>
        <v>0</v>
      </c>
      <c r="L116" s="494">
        <f t="shared" ref="L116:AR116" si="281">ROUND($J116*L129,2)</f>
        <v>0</v>
      </c>
      <c r="M116" s="494">
        <f t="shared" si="281"/>
        <v>0</v>
      </c>
      <c r="N116" s="495">
        <f>ROUND($J116*N129,2)</f>
        <v>0</v>
      </c>
      <c r="O116" s="495">
        <f t="shared" si="281"/>
        <v>0</v>
      </c>
      <c r="P116" s="494">
        <f t="shared" si="281"/>
        <v>0</v>
      </c>
      <c r="Q116" s="494">
        <f t="shared" si="281"/>
        <v>0</v>
      </c>
      <c r="R116" s="729">
        <f t="shared" ref="R116:T116" si="282">ROUND($J116*R129,2)</f>
        <v>0</v>
      </c>
      <c r="S116" s="729">
        <f t="shared" si="282"/>
        <v>0</v>
      </c>
      <c r="T116" s="729">
        <f t="shared" si="282"/>
        <v>0</v>
      </c>
      <c r="U116" s="729">
        <f t="shared" si="281"/>
        <v>0</v>
      </c>
      <c r="V116" s="495">
        <f t="shared" ref="V116:W116" si="283">ROUND($J116*V129,2)</f>
        <v>0</v>
      </c>
      <c r="W116" s="495">
        <f t="shared" si="283"/>
        <v>0</v>
      </c>
      <c r="X116" s="495">
        <f t="shared" ref="X116:Y116" si="284">ROUND($J116*X129,2)</f>
        <v>0</v>
      </c>
      <c r="Y116" s="495">
        <f t="shared" si="284"/>
        <v>0</v>
      </c>
      <c r="Z116" s="495">
        <f t="shared" ref="Z116:AA116" si="285">ROUND($J116*Z129,2)</f>
        <v>0</v>
      </c>
      <c r="AA116" s="495">
        <f t="shared" si="285"/>
        <v>0</v>
      </c>
      <c r="AB116" s="495">
        <f t="shared" ref="AB116:AD116" si="286">ROUND($J116*AB129,2)</f>
        <v>0</v>
      </c>
      <c r="AC116" s="495">
        <f t="shared" si="286"/>
        <v>0</v>
      </c>
      <c r="AD116" s="495">
        <f t="shared" si="286"/>
        <v>0</v>
      </c>
      <c r="AE116" s="789">
        <f t="shared" si="281"/>
        <v>0</v>
      </c>
      <c r="AF116" s="494">
        <f t="shared" si="281"/>
        <v>0</v>
      </c>
      <c r="AG116" s="495">
        <f t="shared" si="281"/>
        <v>0</v>
      </c>
      <c r="AH116" s="495">
        <f t="shared" si="281"/>
        <v>0</v>
      </c>
      <c r="AI116" s="494">
        <f t="shared" si="281"/>
        <v>0</v>
      </c>
      <c r="AJ116" s="495">
        <f t="shared" si="281"/>
        <v>0</v>
      </c>
      <c r="AK116" s="494">
        <f t="shared" si="281"/>
        <v>0</v>
      </c>
      <c r="AL116" s="495">
        <f t="shared" si="281"/>
        <v>0</v>
      </c>
      <c r="AM116" s="494">
        <f t="shared" si="281"/>
        <v>0</v>
      </c>
      <c r="AN116" s="495">
        <f t="shared" si="281"/>
        <v>0</v>
      </c>
      <c r="AO116" s="495">
        <f t="shared" ref="AO116" si="287">ROUND($J116*AO129,2)</f>
        <v>0</v>
      </c>
      <c r="AP116" s="494">
        <f t="shared" si="281"/>
        <v>0</v>
      </c>
      <c r="AQ116" s="495">
        <f t="shared" ref="AQ116" si="288">ROUND($J116*AQ129,2)</f>
        <v>0</v>
      </c>
      <c r="AR116" s="494">
        <f t="shared" si="281"/>
        <v>0</v>
      </c>
      <c r="AS116" s="494">
        <f>ROUND($J116*AS129,2)</f>
        <v>0</v>
      </c>
      <c r="AT116" s="495">
        <f>ROUND($J116*AT129,2)</f>
        <v>0</v>
      </c>
    </row>
    <row r="117" spans="1:46" s="499" customFormat="1">
      <c r="A117" s="971"/>
      <c r="B117" s="958" t="s">
        <v>885</v>
      </c>
      <c r="C117" s="959"/>
      <c r="D117" s="959"/>
      <c r="E117" s="960"/>
      <c r="F117" s="952" t="s">
        <v>886</v>
      </c>
      <c r="G117" s="953"/>
      <c r="H117" s="953"/>
      <c r="I117" s="496"/>
      <c r="J117" s="497" t="s">
        <v>887</v>
      </c>
      <c r="K117" s="498">
        <f>VLOOKUP(K6,'Dados - Composição PCFP'!$D$5:$AA$40,5,0)</f>
        <v>0.02</v>
      </c>
      <c r="L117" s="498">
        <f>VLOOKUP(L6,'Dados - Composição PCFP'!$D$5:$AA$40,5,0)</f>
        <v>0.02</v>
      </c>
      <c r="M117" s="498">
        <f>VLOOKUP(M6,'Dados - Composição PCFP'!$D$5:$AA$40,5,0)</f>
        <v>0.02</v>
      </c>
      <c r="N117" s="498">
        <f>VLOOKUP(N6,'Dados - Composição PCFP'!$D$5:$AA$40,5,0)</f>
        <v>0.02</v>
      </c>
      <c r="O117" s="498">
        <f>VLOOKUP(O6,'Dados - Composição PCFP'!$D$5:$AA$40,5,0)</f>
        <v>0.02</v>
      </c>
      <c r="P117" s="498">
        <f>VLOOKUP(P6,'Dados - Composição PCFP'!$D$5:$AA$40,5,0)</f>
        <v>0.02</v>
      </c>
      <c r="Q117" s="498">
        <f>VLOOKUP(Q6,'Dados - Composição PCFP'!$D$5:$AA$40,5,0)</f>
        <v>0.02</v>
      </c>
      <c r="R117" s="730">
        <f>VLOOKUP(R6,'Dados - Composição PCFP'!$D$5:$AA$40,5,0)</f>
        <v>0.02</v>
      </c>
      <c r="S117" s="730">
        <f>VLOOKUP(S6,'Dados - Composição PCFP'!$D$5:$AA$40,5,0)</f>
        <v>0.02</v>
      </c>
      <c r="T117" s="730">
        <f>VLOOKUP(T6,'Dados - Composição PCFP'!$D$5:$AA$40,5,0)</f>
        <v>0.02</v>
      </c>
      <c r="U117" s="730">
        <f>VLOOKUP(U6,'Dados - Composição PCFP'!$D$5:$AA$40,5,0)</f>
        <v>0.02</v>
      </c>
      <c r="V117" s="498">
        <f>VLOOKUP(V6,'Dados - Composição PCFP'!$D$5:$AA$40,5,0)</f>
        <v>0.02</v>
      </c>
      <c r="W117" s="498">
        <f>VLOOKUP(W6,'Dados - Composição PCFP'!$D$5:$AA$40,5,0)</f>
        <v>0.02</v>
      </c>
      <c r="X117" s="498">
        <f>VLOOKUP(X6,'Dados - Composição PCFP'!$D$5:$AA$40,5,0)</f>
        <v>0.02</v>
      </c>
      <c r="Y117" s="498">
        <f>VLOOKUP(Y6,'Dados - Composição PCFP'!$D$5:$AA$40,5,0)</f>
        <v>0.02</v>
      </c>
      <c r="Z117" s="498">
        <f>VLOOKUP(Z6,'Dados - Composição PCFP'!$D$5:$AA$40,5,0)</f>
        <v>0.02</v>
      </c>
      <c r="AA117" s="498">
        <f>VLOOKUP(AA6,'Dados - Composição PCFP'!$D$5:$AA$40,5,0)</f>
        <v>0.02</v>
      </c>
      <c r="AB117" s="498">
        <f>VLOOKUP(AB6,'Dados - Composição PCFP'!$D$5:$AA$40,5,0)</f>
        <v>0.02</v>
      </c>
      <c r="AC117" s="498">
        <f>VLOOKUP(AC6,'Dados - Composição PCFP'!$D$5:$AA$40,5,0)</f>
        <v>0.02</v>
      </c>
      <c r="AD117" s="498">
        <f>VLOOKUP(AD6,'Dados - Composição PCFP'!$D$5:$AA$40,5,0)</f>
        <v>0.04</v>
      </c>
      <c r="AE117" s="790">
        <f>VLOOKUP(AE6,'Dados - Composição PCFP'!$D$5:$AA$40,5,0)</f>
        <v>0.03</v>
      </c>
      <c r="AF117" s="498">
        <f>VLOOKUP(AF6,'Dados - Composição PCFP'!$D$5:$AA$40,5,0)</f>
        <v>0.02</v>
      </c>
      <c r="AG117" s="498">
        <f>VLOOKUP(AG6,'Dados - Composição PCFP'!$D$5:$AA$40,5,0)</f>
        <v>0.05</v>
      </c>
      <c r="AH117" s="498">
        <f>VLOOKUP(AH6,'Dados - Composição PCFP'!$D$5:$AA$40,5,0)</f>
        <v>0.05</v>
      </c>
      <c r="AI117" s="498">
        <f>VLOOKUP(AI6,'Dados - Composição PCFP'!$D$5:$AA$40,5,0)</f>
        <v>0.05</v>
      </c>
      <c r="AJ117" s="498">
        <f>VLOOKUP(AJ6,'Dados - Composição PCFP'!$D$5:$AA$40,5,0)</f>
        <v>0.03</v>
      </c>
      <c r="AK117" s="498">
        <f>VLOOKUP(AK6,'Dados - Composição PCFP'!$D$5:$AA$40,5,0)</f>
        <v>0.03</v>
      </c>
      <c r="AL117" s="498">
        <f>VLOOKUP(AL6,'Dados - Composição PCFP'!$D$5:$AA$40,5,0)</f>
        <v>0.05</v>
      </c>
      <c r="AM117" s="498">
        <f>VLOOKUP(AM6,'Dados - Composição PCFP'!$D$5:$AA$40,5,0)</f>
        <v>0.05</v>
      </c>
      <c r="AN117" s="498">
        <f>VLOOKUP(AN6,'Dados - Composição PCFP'!$D$5:$AA$40,5,0)</f>
        <v>0.02</v>
      </c>
      <c r="AO117" s="498">
        <f>VLOOKUP(AO6,'Dados - Composição PCFP'!$D$5:$AA$40,5,0)</f>
        <v>0.05</v>
      </c>
      <c r="AP117" s="498">
        <f>VLOOKUP(AP6,'Dados - Composição PCFP'!$D$5:$AA$40,5,0)</f>
        <v>0.03</v>
      </c>
      <c r="AQ117" s="498">
        <f>VLOOKUP(AQ6,'Dados - Composição PCFP'!$D$5:$AA$40,5,0)</f>
        <v>0.05</v>
      </c>
      <c r="AR117" s="498">
        <f>VLOOKUP(AR6,'Dados - Composição PCFP'!$D$5:$AA$40,5,0)</f>
        <v>0.05</v>
      </c>
      <c r="AS117" s="498">
        <f>VLOOKUP(AS6,'Dados - Composição PCFP'!$D$5:$AA$40,5,0)</f>
        <v>0.04</v>
      </c>
      <c r="AT117" s="498">
        <f>VLOOKUP(AT6,'Dados - Composição PCFP'!$D$5:$AA$40,5,0)</f>
        <v>0.04</v>
      </c>
    </row>
    <row r="118" spans="1:46" s="413" customFormat="1">
      <c r="A118" s="971"/>
      <c r="B118" s="961"/>
      <c r="C118" s="962"/>
      <c r="D118" s="962"/>
      <c r="E118" s="963"/>
      <c r="F118" s="954"/>
      <c r="G118" s="955"/>
      <c r="H118" s="955"/>
      <c r="I118" s="956"/>
      <c r="J118" s="957"/>
      <c r="K118" s="491">
        <f>K117*K129</f>
        <v>651.24580000000003</v>
      </c>
      <c r="L118" s="491">
        <f>L117*L129</f>
        <v>208.35660000000001</v>
      </c>
      <c r="M118" s="491">
        <f>M117*M129</f>
        <v>180.4016</v>
      </c>
      <c r="N118" s="492">
        <f t="shared" ref="N118:AR118" si="289">N117*N129</f>
        <v>180.4016</v>
      </c>
      <c r="O118" s="492">
        <f t="shared" si="289"/>
        <v>155.49760000000001</v>
      </c>
      <c r="P118" s="491">
        <f t="shared" si="289"/>
        <v>180.4016</v>
      </c>
      <c r="Q118" s="491">
        <f t="shared" si="289"/>
        <v>180.4016</v>
      </c>
      <c r="R118" s="728">
        <f t="shared" ref="R118:T118" si="290">R117*R129</f>
        <v>174.50299999999999</v>
      </c>
      <c r="S118" s="728">
        <f t="shared" si="290"/>
        <v>190.4162</v>
      </c>
      <c r="T118" s="728">
        <f t="shared" si="290"/>
        <v>174.50299999999999</v>
      </c>
      <c r="U118" s="728">
        <f t="shared" si="289"/>
        <v>190.4162</v>
      </c>
      <c r="V118" s="492">
        <f t="shared" ref="V118:W118" si="291">V117*V129</f>
        <v>180.4016</v>
      </c>
      <c r="W118" s="492">
        <f t="shared" si="291"/>
        <v>180.4016</v>
      </c>
      <c r="X118" s="492">
        <f t="shared" ref="X118:Y118" si="292">X117*X129</f>
        <v>180.4016</v>
      </c>
      <c r="Y118" s="492">
        <f t="shared" si="292"/>
        <v>155.49760000000001</v>
      </c>
      <c r="Z118" s="492">
        <f t="shared" ref="Z118:AA118" si="293">Z117*Z129</f>
        <v>181.53900000000002</v>
      </c>
      <c r="AA118" s="492">
        <f t="shared" si="293"/>
        <v>180.4016</v>
      </c>
      <c r="AB118" s="492">
        <f t="shared" ref="AB118:AD118" si="294">AB117*AB129</f>
        <v>147.18299999999999</v>
      </c>
      <c r="AC118" s="492">
        <f t="shared" si="294"/>
        <v>128.19759999999999</v>
      </c>
      <c r="AD118" s="492">
        <f t="shared" si="294"/>
        <v>364.3492</v>
      </c>
      <c r="AE118" s="788">
        <f t="shared" si="289"/>
        <v>269.03999999999996</v>
      </c>
      <c r="AF118" s="491">
        <f t="shared" si="289"/>
        <v>177.58259999999999</v>
      </c>
      <c r="AG118" s="492">
        <f t="shared" si="289"/>
        <v>462.32200000000006</v>
      </c>
      <c r="AH118" s="492">
        <f t="shared" si="289"/>
        <v>462.32200000000006</v>
      </c>
      <c r="AI118" s="491">
        <f t="shared" si="289"/>
        <v>457.91350000000006</v>
      </c>
      <c r="AJ118" s="492">
        <f t="shared" si="289"/>
        <v>270.88620000000003</v>
      </c>
      <c r="AK118" s="491">
        <f t="shared" si="289"/>
        <v>270.79379999999998</v>
      </c>
      <c r="AL118" s="492">
        <f t="shared" si="289"/>
        <v>462.32200000000006</v>
      </c>
      <c r="AM118" s="491">
        <f t="shared" si="289"/>
        <v>459.48850000000004</v>
      </c>
      <c r="AN118" s="492">
        <f t="shared" si="289"/>
        <v>178.79919999999998</v>
      </c>
      <c r="AO118" s="492">
        <f t="shared" ref="AO118" si="295">AO117*AO129</f>
        <v>464.21100000000001</v>
      </c>
      <c r="AP118" s="491">
        <f t="shared" si="289"/>
        <v>269.77860000000004</v>
      </c>
      <c r="AQ118" s="492">
        <f t="shared" ref="AQ118" si="296">AQ117*AQ129</f>
        <v>462.32200000000006</v>
      </c>
      <c r="AR118" s="491">
        <f t="shared" si="289"/>
        <v>457.91350000000006</v>
      </c>
      <c r="AS118" s="491">
        <f>AS117*AS129</f>
        <v>363.97559999999999</v>
      </c>
      <c r="AT118" s="492">
        <f>AT117*AT129</f>
        <v>363.97559999999999</v>
      </c>
    </row>
    <row r="119" spans="1:46" s="413" customFormat="1">
      <c r="A119" s="918" t="s">
        <v>175</v>
      </c>
      <c r="B119" s="919"/>
      <c r="C119" s="919"/>
      <c r="D119" s="919"/>
      <c r="E119" s="919"/>
      <c r="F119" s="919"/>
      <c r="G119" s="919"/>
      <c r="H119" s="919"/>
      <c r="I119" s="919"/>
      <c r="J119" s="482"/>
      <c r="K119" s="500">
        <f t="shared" ref="K119:AR119" si="297">SUM(K111:K113)</f>
        <v>6288.9400000000005</v>
      </c>
      <c r="L119" s="500">
        <f t="shared" si="297"/>
        <v>2012.05</v>
      </c>
      <c r="M119" s="500">
        <f t="shared" si="297"/>
        <v>1742.1</v>
      </c>
      <c r="N119" s="501">
        <f t="shared" si="297"/>
        <v>1742.1</v>
      </c>
      <c r="O119" s="501">
        <f t="shared" si="297"/>
        <v>1501.6</v>
      </c>
      <c r="P119" s="500">
        <f t="shared" si="297"/>
        <v>1742.1</v>
      </c>
      <c r="Q119" s="500">
        <f t="shared" si="297"/>
        <v>1742.1</v>
      </c>
      <c r="R119" s="731">
        <f t="shared" ref="R119:T119" si="298">SUM(R111:R113)</f>
        <v>1685.1399999999999</v>
      </c>
      <c r="S119" s="731">
        <f t="shared" si="298"/>
        <v>1838.81</v>
      </c>
      <c r="T119" s="731">
        <f t="shared" si="298"/>
        <v>1685.1399999999999</v>
      </c>
      <c r="U119" s="731">
        <f t="shared" si="297"/>
        <v>1838.81</v>
      </c>
      <c r="V119" s="501">
        <f t="shared" ref="V119:W119" si="299">SUM(V111:V113)</f>
        <v>1742.1</v>
      </c>
      <c r="W119" s="501">
        <f t="shared" si="299"/>
        <v>1742.1</v>
      </c>
      <c r="X119" s="501">
        <f t="shared" ref="X119:Y119" si="300">SUM(X111:X113)</f>
        <v>1742.1</v>
      </c>
      <c r="Y119" s="501">
        <f t="shared" si="300"/>
        <v>1501.6</v>
      </c>
      <c r="Z119" s="501">
        <f t="shared" ref="Z119:AA119" si="301">SUM(Z111:Z113)</f>
        <v>1753.0900000000001</v>
      </c>
      <c r="AA119" s="501">
        <f t="shared" si="301"/>
        <v>1742.1</v>
      </c>
      <c r="AB119" s="501">
        <f t="shared" ref="AB119:AD119" si="302">SUM(AB111:AB113)</f>
        <v>1421.31</v>
      </c>
      <c r="AC119" s="501">
        <f t="shared" si="302"/>
        <v>1237.98</v>
      </c>
      <c r="AD119" s="501">
        <f t="shared" si="302"/>
        <v>1924.8500000000001</v>
      </c>
      <c r="AE119" s="420">
        <f t="shared" si="297"/>
        <v>1813.57</v>
      </c>
      <c r="AF119" s="500">
        <f t="shared" si="297"/>
        <v>1714.88</v>
      </c>
      <c r="AG119" s="501">
        <f t="shared" si="297"/>
        <v>2038.0099999999998</v>
      </c>
      <c r="AH119" s="501">
        <f t="shared" si="297"/>
        <v>2038.0099999999998</v>
      </c>
      <c r="AI119" s="500">
        <f t="shared" si="297"/>
        <v>2018.57</v>
      </c>
      <c r="AJ119" s="501">
        <f t="shared" si="297"/>
        <v>1826.02</v>
      </c>
      <c r="AK119" s="500">
        <f t="shared" si="297"/>
        <v>1825.3899999999999</v>
      </c>
      <c r="AL119" s="501">
        <f t="shared" si="297"/>
        <v>2038.0099999999998</v>
      </c>
      <c r="AM119" s="500">
        <f t="shared" si="297"/>
        <v>2025.52</v>
      </c>
      <c r="AN119" s="501">
        <f t="shared" si="297"/>
        <v>1726.63</v>
      </c>
      <c r="AO119" s="501">
        <f t="shared" ref="AO119" si="303">SUM(AO111:AO113)</f>
        <v>2046.34</v>
      </c>
      <c r="AP119" s="500">
        <f t="shared" si="297"/>
        <v>1818.55</v>
      </c>
      <c r="AQ119" s="501">
        <f t="shared" ref="AQ119" si="304">SUM(AQ111:AQ113)</f>
        <v>2038.0099999999998</v>
      </c>
      <c r="AR119" s="500">
        <f t="shared" si="297"/>
        <v>2018.57</v>
      </c>
      <c r="AS119" s="500">
        <f>SUM(AS111:AS113)</f>
        <v>1922.8700000000001</v>
      </c>
      <c r="AT119" s="501">
        <f>SUM(AT111:AT113)</f>
        <v>1922.8700000000001</v>
      </c>
    </row>
    <row r="120" spans="1:46" s="413" customFormat="1" ht="51" customHeight="1">
      <c r="K120" s="414"/>
      <c r="L120" s="414"/>
      <c r="M120" s="414"/>
      <c r="P120" s="414"/>
      <c r="Q120" s="414"/>
      <c r="R120" s="585"/>
      <c r="S120" s="585"/>
      <c r="T120" s="585"/>
      <c r="U120" s="585"/>
      <c r="AE120" s="477"/>
      <c r="AF120" s="414"/>
      <c r="AI120" s="414"/>
      <c r="AK120" s="414"/>
      <c r="AM120" s="414"/>
      <c r="AP120" s="414"/>
      <c r="AR120" s="414"/>
      <c r="AS120" s="414"/>
    </row>
    <row r="121" spans="1:46">
      <c r="A121" s="929" t="s">
        <v>888</v>
      </c>
      <c r="B121" s="930"/>
      <c r="C121" s="930"/>
      <c r="D121" s="930"/>
      <c r="E121" s="930"/>
      <c r="F121" s="930"/>
      <c r="G121" s="930"/>
      <c r="H121" s="930"/>
      <c r="I121" s="930"/>
      <c r="J121" s="931"/>
      <c r="K121" s="404" t="s">
        <v>830</v>
      </c>
      <c r="L121" s="404" t="s">
        <v>830</v>
      </c>
      <c r="M121" s="404" t="s">
        <v>830</v>
      </c>
      <c r="N121" s="552" t="s">
        <v>830</v>
      </c>
      <c r="O121" s="552" t="s">
        <v>830</v>
      </c>
      <c r="P121" s="404" t="s">
        <v>830</v>
      </c>
      <c r="Q121" s="404" t="s">
        <v>830</v>
      </c>
      <c r="R121" s="712" t="s">
        <v>830</v>
      </c>
      <c r="S121" s="712" t="s">
        <v>830</v>
      </c>
      <c r="T121" s="712" t="s">
        <v>830</v>
      </c>
      <c r="U121" s="712" t="s">
        <v>830</v>
      </c>
      <c r="V121" s="552" t="s">
        <v>830</v>
      </c>
      <c r="W121" s="552" t="s">
        <v>830</v>
      </c>
      <c r="X121" s="552" t="s">
        <v>830</v>
      </c>
      <c r="Y121" s="552" t="s">
        <v>830</v>
      </c>
      <c r="Z121" s="552" t="s">
        <v>830</v>
      </c>
      <c r="AA121" s="552" t="s">
        <v>830</v>
      </c>
      <c r="AB121" s="552" t="s">
        <v>830</v>
      </c>
      <c r="AC121" s="552" t="s">
        <v>830</v>
      </c>
      <c r="AD121" s="552" t="s">
        <v>830</v>
      </c>
      <c r="AE121" s="784" t="s">
        <v>830</v>
      </c>
      <c r="AF121" s="404" t="s">
        <v>830</v>
      </c>
      <c r="AG121" s="552" t="s">
        <v>830</v>
      </c>
      <c r="AH121" s="552" t="s">
        <v>830</v>
      </c>
      <c r="AI121" s="404" t="s">
        <v>830</v>
      </c>
      <c r="AJ121" s="552" t="s">
        <v>830</v>
      </c>
      <c r="AK121" s="404" t="s">
        <v>830</v>
      </c>
      <c r="AL121" s="552" t="s">
        <v>830</v>
      </c>
      <c r="AM121" s="404" t="s">
        <v>830</v>
      </c>
      <c r="AN121" s="552" t="s">
        <v>830</v>
      </c>
      <c r="AO121" s="552" t="s">
        <v>830</v>
      </c>
      <c r="AP121" s="404" t="s">
        <v>830</v>
      </c>
      <c r="AQ121" s="552" t="s">
        <v>830</v>
      </c>
      <c r="AR121" s="404" t="s">
        <v>830</v>
      </c>
      <c r="AS121" s="404" t="s">
        <v>830</v>
      </c>
      <c r="AT121" s="552" t="s">
        <v>830</v>
      </c>
    </row>
    <row r="122" spans="1:46">
      <c r="A122" s="911" t="s">
        <v>829</v>
      </c>
      <c r="B122" s="912"/>
      <c r="C122" s="912"/>
      <c r="D122" s="912"/>
      <c r="E122" s="912"/>
      <c r="F122" s="912"/>
      <c r="G122" s="912"/>
      <c r="H122" s="912"/>
      <c r="I122" s="912"/>
      <c r="J122" s="913"/>
      <c r="K122" s="444">
        <f t="shared" ref="K122:AT122" si="305">K14</f>
        <v>13940.189999999999</v>
      </c>
      <c r="L122" s="444">
        <f t="shared" si="305"/>
        <v>3921.7</v>
      </c>
      <c r="M122" s="444">
        <f t="shared" si="305"/>
        <v>3268.08</v>
      </c>
      <c r="N122" s="408">
        <f t="shared" si="305"/>
        <v>3268.08</v>
      </c>
      <c r="O122" s="408">
        <f t="shared" si="305"/>
        <v>2685.8100000000004</v>
      </c>
      <c r="P122" s="444">
        <f t="shared" si="305"/>
        <v>3268.08</v>
      </c>
      <c r="Q122" s="444">
        <f t="shared" si="305"/>
        <v>3268.08</v>
      </c>
      <c r="R122" s="714">
        <f t="shared" si="305"/>
        <v>3268.08</v>
      </c>
      <c r="S122" s="714">
        <f t="shared" si="305"/>
        <v>3629.3513890909094</v>
      </c>
      <c r="T122" s="714">
        <f t="shared" si="305"/>
        <v>3268.08</v>
      </c>
      <c r="U122" s="714">
        <f t="shared" si="305"/>
        <v>3629.3513890909094</v>
      </c>
      <c r="V122" s="408">
        <f t="shared" si="305"/>
        <v>3268.08</v>
      </c>
      <c r="W122" s="408">
        <f t="shared" si="305"/>
        <v>3268.08</v>
      </c>
      <c r="X122" s="408">
        <f t="shared" si="305"/>
        <v>3268.08</v>
      </c>
      <c r="Y122" s="408">
        <f t="shared" si="305"/>
        <v>2685.8100000000004</v>
      </c>
      <c r="Z122" s="408">
        <f t="shared" si="305"/>
        <v>3430.9</v>
      </c>
      <c r="AA122" s="408">
        <f t="shared" si="305"/>
        <v>3268.08</v>
      </c>
      <c r="AB122" s="408">
        <f t="shared" si="305"/>
        <v>2513.91</v>
      </c>
      <c r="AC122" s="408">
        <f t="shared" ref="AC122" si="306">AC14</f>
        <v>2066.0100000000002</v>
      </c>
      <c r="AD122" s="408">
        <f t="shared" si="305"/>
        <v>3268.08</v>
      </c>
      <c r="AE122" s="444">
        <f t="shared" si="305"/>
        <v>3268.08</v>
      </c>
      <c r="AF122" s="444">
        <f t="shared" si="305"/>
        <v>3268.08</v>
      </c>
      <c r="AG122" s="408">
        <f t="shared" si="305"/>
        <v>3268.08</v>
      </c>
      <c r="AH122" s="408">
        <f t="shared" si="305"/>
        <v>3268.08</v>
      </c>
      <c r="AI122" s="444">
        <f t="shared" si="305"/>
        <v>3268.08</v>
      </c>
      <c r="AJ122" s="408">
        <f t="shared" si="305"/>
        <v>3268.08</v>
      </c>
      <c r="AK122" s="444">
        <f t="shared" si="305"/>
        <v>3268.08</v>
      </c>
      <c r="AL122" s="408">
        <f t="shared" si="305"/>
        <v>3268.08</v>
      </c>
      <c r="AM122" s="444">
        <f t="shared" si="305"/>
        <v>3268.08</v>
      </c>
      <c r="AN122" s="408">
        <f t="shared" si="305"/>
        <v>3268.08</v>
      </c>
      <c r="AO122" s="408">
        <f t="shared" si="305"/>
        <v>3268.08</v>
      </c>
      <c r="AP122" s="444">
        <f t="shared" si="305"/>
        <v>3268.08</v>
      </c>
      <c r="AQ122" s="408">
        <f t="shared" si="305"/>
        <v>3268.08</v>
      </c>
      <c r="AR122" s="444">
        <f t="shared" si="305"/>
        <v>3268.08</v>
      </c>
      <c r="AS122" s="444">
        <f t="shared" si="305"/>
        <v>3268.08</v>
      </c>
      <c r="AT122" s="408">
        <f t="shared" si="305"/>
        <v>3268.08</v>
      </c>
    </row>
    <row r="123" spans="1:46">
      <c r="A123" s="911" t="s">
        <v>836</v>
      </c>
      <c r="B123" s="912"/>
      <c r="C123" s="912"/>
      <c r="D123" s="912"/>
      <c r="E123" s="912"/>
      <c r="F123" s="912"/>
      <c r="G123" s="912"/>
      <c r="H123" s="912"/>
      <c r="I123" s="912"/>
      <c r="J123" s="913"/>
      <c r="K123" s="444">
        <f t="shared" ref="K123:AR123" si="307">K55</f>
        <v>8321.5550000000003</v>
      </c>
      <c r="L123" s="444">
        <f t="shared" si="307"/>
        <v>3053.7218000000003</v>
      </c>
      <c r="M123" s="444">
        <f t="shared" si="307"/>
        <v>2744.0185999999999</v>
      </c>
      <c r="N123" s="408">
        <f t="shared" si="307"/>
        <v>2744.0185999999999</v>
      </c>
      <c r="O123" s="408">
        <f t="shared" si="307"/>
        <v>2468.1226000000001</v>
      </c>
      <c r="P123" s="444">
        <f t="shared" si="307"/>
        <v>2744.0185999999999</v>
      </c>
      <c r="Q123" s="444">
        <f t="shared" si="307"/>
        <v>2744.0185999999999</v>
      </c>
      <c r="R123" s="714">
        <f t="shared" ref="R123:T123" si="308">R55</f>
        <v>2530.7006000000001</v>
      </c>
      <c r="S123" s="714">
        <f t="shared" si="308"/>
        <v>2718.5806000000002</v>
      </c>
      <c r="T123" s="714">
        <f t="shared" si="308"/>
        <v>2530.7006000000001</v>
      </c>
      <c r="U123" s="714">
        <f t="shared" si="307"/>
        <v>2718.5806000000002</v>
      </c>
      <c r="V123" s="408">
        <f t="shared" ref="V123:W123" si="309">V55</f>
        <v>2744.0185999999999</v>
      </c>
      <c r="W123" s="408">
        <f t="shared" si="309"/>
        <v>2744.0185999999999</v>
      </c>
      <c r="X123" s="408">
        <f t="shared" ref="X123:Y123" si="310">X55</f>
        <v>2744.0185999999999</v>
      </c>
      <c r="Y123" s="408">
        <f t="shared" si="310"/>
        <v>2468.1226000000001</v>
      </c>
      <c r="Z123" s="408">
        <f t="shared" ref="Z123:AA123" si="311">Z55</f>
        <v>2610.4518999999996</v>
      </c>
      <c r="AA123" s="408">
        <f t="shared" si="311"/>
        <v>2744.0185999999999</v>
      </c>
      <c r="AB123" s="408">
        <f t="shared" ref="AB123:AD123" si="312">AB55</f>
        <v>2351.8485999999998</v>
      </c>
      <c r="AC123" s="408">
        <f t="shared" si="312"/>
        <v>2145.8126000000002</v>
      </c>
      <c r="AD123" s="408">
        <f t="shared" si="312"/>
        <v>2659.6705999999999</v>
      </c>
      <c r="AE123" s="444">
        <f t="shared" si="307"/>
        <v>2633.2705999999998</v>
      </c>
      <c r="AF123" s="444">
        <f t="shared" si="307"/>
        <v>2642.0706</v>
      </c>
      <c r="AG123" s="408">
        <f t="shared" si="307"/>
        <v>2681.6705999999999</v>
      </c>
      <c r="AH123" s="408">
        <f t="shared" si="307"/>
        <v>2681.6705999999999</v>
      </c>
      <c r="AI123" s="444">
        <f t="shared" si="307"/>
        <v>2620.0706</v>
      </c>
      <c r="AJ123" s="408">
        <f t="shared" si="307"/>
        <v>2677.2705999999998</v>
      </c>
      <c r="AK123" s="444">
        <f t="shared" si="307"/>
        <v>2675.0706</v>
      </c>
      <c r="AL123" s="408">
        <f t="shared" si="307"/>
        <v>2681.6705999999999</v>
      </c>
      <c r="AM123" s="444">
        <f t="shared" si="307"/>
        <v>2642.0706</v>
      </c>
      <c r="AN123" s="408">
        <f t="shared" si="307"/>
        <v>2686.0706</v>
      </c>
      <c r="AO123" s="408">
        <f t="shared" ref="AO123" si="313">AO55</f>
        <v>2708.0706</v>
      </c>
      <c r="AP123" s="444">
        <f t="shared" si="307"/>
        <v>2650.8706000000002</v>
      </c>
      <c r="AQ123" s="408">
        <f t="shared" ref="AQ123" si="314">AQ55</f>
        <v>2681.6705999999999</v>
      </c>
      <c r="AR123" s="444">
        <f t="shared" si="307"/>
        <v>2620.0706</v>
      </c>
      <c r="AS123" s="444">
        <f>AS55</f>
        <v>2653.0706</v>
      </c>
      <c r="AT123" s="408">
        <f>AT55</f>
        <v>2653.0706</v>
      </c>
    </row>
    <row r="124" spans="1:46">
      <c r="A124" s="911" t="s">
        <v>881</v>
      </c>
      <c r="B124" s="912"/>
      <c r="C124" s="912"/>
      <c r="D124" s="912"/>
      <c r="E124" s="912"/>
      <c r="F124" s="912"/>
      <c r="G124" s="912"/>
      <c r="H124" s="912"/>
      <c r="I124" s="912"/>
      <c r="J124" s="913"/>
      <c r="K124" s="444">
        <f t="shared" ref="K124:AR124" si="315">K66</f>
        <v>1015.7099999999999</v>
      </c>
      <c r="L124" s="444">
        <f t="shared" si="315"/>
        <v>285.74</v>
      </c>
      <c r="M124" s="444">
        <f t="shared" si="315"/>
        <v>238.12</v>
      </c>
      <c r="N124" s="408">
        <f t="shared" si="315"/>
        <v>238.12</v>
      </c>
      <c r="O124" s="408">
        <f t="shared" si="315"/>
        <v>195.69</v>
      </c>
      <c r="P124" s="444">
        <f t="shared" si="315"/>
        <v>238.12</v>
      </c>
      <c r="Q124" s="444">
        <f t="shared" si="315"/>
        <v>238.12</v>
      </c>
      <c r="R124" s="714">
        <f t="shared" ref="R124:T124" si="316">R66</f>
        <v>238.12</v>
      </c>
      <c r="S124" s="714">
        <f t="shared" si="316"/>
        <v>264.45</v>
      </c>
      <c r="T124" s="714">
        <f t="shared" si="316"/>
        <v>238.12</v>
      </c>
      <c r="U124" s="714">
        <f t="shared" si="315"/>
        <v>264.45</v>
      </c>
      <c r="V124" s="408">
        <f t="shared" ref="V124:W124" si="317">V66</f>
        <v>238.12</v>
      </c>
      <c r="W124" s="408">
        <f t="shared" si="317"/>
        <v>238.12</v>
      </c>
      <c r="X124" s="408">
        <f t="shared" ref="X124:Y124" si="318">X66</f>
        <v>238.12</v>
      </c>
      <c r="Y124" s="408">
        <f t="shared" si="318"/>
        <v>195.69</v>
      </c>
      <c r="Z124" s="408">
        <f t="shared" ref="Z124:AA124" si="319">Z66</f>
        <v>249.99</v>
      </c>
      <c r="AA124" s="408">
        <f t="shared" si="319"/>
        <v>238.12</v>
      </c>
      <c r="AB124" s="408">
        <f t="shared" ref="AB124:AD124" si="320">AB66</f>
        <v>183.17</v>
      </c>
      <c r="AC124" s="408">
        <f t="shared" si="320"/>
        <v>150.53</v>
      </c>
      <c r="AD124" s="408">
        <f t="shared" si="320"/>
        <v>238.12</v>
      </c>
      <c r="AE124" s="444">
        <f t="shared" si="315"/>
        <v>238.12</v>
      </c>
      <c r="AF124" s="444">
        <f t="shared" si="315"/>
        <v>238.12</v>
      </c>
      <c r="AG124" s="408">
        <f t="shared" si="315"/>
        <v>238.12</v>
      </c>
      <c r="AH124" s="408">
        <f t="shared" si="315"/>
        <v>238.12</v>
      </c>
      <c r="AI124" s="444">
        <f t="shared" si="315"/>
        <v>238.12</v>
      </c>
      <c r="AJ124" s="408">
        <f t="shared" si="315"/>
        <v>238.12</v>
      </c>
      <c r="AK124" s="444">
        <f t="shared" si="315"/>
        <v>238.12</v>
      </c>
      <c r="AL124" s="408">
        <f t="shared" si="315"/>
        <v>238.12</v>
      </c>
      <c r="AM124" s="444">
        <f t="shared" si="315"/>
        <v>238.12</v>
      </c>
      <c r="AN124" s="408">
        <f t="shared" si="315"/>
        <v>238.12</v>
      </c>
      <c r="AO124" s="408">
        <f t="shared" ref="AO124" si="321">AO66</f>
        <v>238.12</v>
      </c>
      <c r="AP124" s="444">
        <f t="shared" si="315"/>
        <v>238.12</v>
      </c>
      <c r="AQ124" s="408">
        <f t="shared" ref="AQ124" si="322">AQ66</f>
        <v>238.12</v>
      </c>
      <c r="AR124" s="444">
        <f t="shared" si="315"/>
        <v>238.12</v>
      </c>
      <c r="AS124" s="444">
        <f>AS66</f>
        <v>238.12</v>
      </c>
      <c r="AT124" s="408">
        <f>AT66</f>
        <v>238.12</v>
      </c>
    </row>
    <row r="125" spans="1:46">
      <c r="A125" s="911" t="s">
        <v>882</v>
      </c>
      <c r="B125" s="912"/>
      <c r="C125" s="912"/>
      <c r="D125" s="912"/>
      <c r="E125" s="912"/>
      <c r="F125" s="912"/>
      <c r="G125" s="912"/>
      <c r="H125" s="912"/>
      <c r="I125" s="912"/>
      <c r="J125" s="913"/>
      <c r="K125" s="444">
        <f t="shared" ref="K125:AR125" si="323">K90</f>
        <v>2690.5699999999997</v>
      </c>
      <c r="L125" s="444">
        <f t="shared" si="323"/>
        <v>839.3</v>
      </c>
      <c r="M125" s="444">
        <f t="shared" si="323"/>
        <v>722.44</v>
      </c>
      <c r="N125" s="408">
        <f t="shared" si="323"/>
        <v>722.44</v>
      </c>
      <c r="O125" s="408">
        <f t="shared" si="323"/>
        <v>618.34</v>
      </c>
      <c r="P125" s="444">
        <f t="shared" si="323"/>
        <v>722.44</v>
      </c>
      <c r="Q125" s="444">
        <f t="shared" si="323"/>
        <v>722.44</v>
      </c>
      <c r="R125" s="714">
        <f t="shared" ref="R125:T125" si="324">R90</f>
        <v>697.79</v>
      </c>
      <c r="S125" s="714">
        <f t="shared" si="324"/>
        <v>764.3</v>
      </c>
      <c r="T125" s="714">
        <f t="shared" si="324"/>
        <v>697.79</v>
      </c>
      <c r="U125" s="714">
        <f t="shared" si="323"/>
        <v>764.3</v>
      </c>
      <c r="V125" s="408">
        <f t="shared" ref="V125:W125" si="325">V90</f>
        <v>722.44</v>
      </c>
      <c r="W125" s="408">
        <f t="shared" si="325"/>
        <v>722.44</v>
      </c>
      <c r="X125" s="408">
        <f t="shared" ref="X125:Y125" si="326">X90</f>
        <v>722.44</v>
      </c>
      <c r="Y125" s="408">
        <f t="shared" si="326"/>
        <v>618.34</v>
      </c>
      <c r="Z125" s="408">
        <f t="shared" ref="Z125:AA125" si="327">Z90</f>
        <v>727.19999999999993</v>
      </c>
      <c r="AA125" s="408">
        <f t="shared" si="327"/>
        <v>722.44</v>
      </c>
      <c r="AB125" s="408">
        <f t="shared" ref="AB125:AD125" si="328">AB90</f>
        <v>583.59</v>
      </c>
      <c r="AC125" s="408">
        <f t="shared" si="328"/>
        <v>504.22999999999996</v>
      </c>
      <c r="AD125" s="408">
        <f t="shared" si="328"/>
        <v>712.69</v>
      </c>
      <c r="AE125" s="444">
        <f t="shared" si="323"/>
        <v>709.64</v>
      </c>
      <c r="AF125" s="444">
        <f t="shared" si="323"/>
        <v>710.66000000000008</v>
      </c>
      <c r="AG125" s="408">
        <f t="shared" si="323"/>
        <v>715.24</v>
      </c>
      <c r="AH125" s="408">
        <f t="shared" si="323"/>
        <v>715.24</v>
      </c>
      <c r="AI125" s="444">
        <f t="shared" si="323"/>
        <v>708.11</v>
      </c>
      <c r="AJ125" s="408">
        <f t="shared" si="323"/>
        <v>714.73</v>
      </c>
      <c r="AK125" s="444">
        <f t="shared" si="323"/>
        <v>714.48</v>
      </c>
      <c r="AL125" s="408">
        <f t="shared" si="323"/>
        <v>715.24</v>
      </c>
      <c r="AM125" s="444">
        <f t="shared" si="323"/>
        <v>710.66000000000008</v>
      </c>
      <c r="AN125" s="408">
        <f t="shared" si="323"/>
        <v>715.74</v>
      </c>
      <c r="AO125" s="408">
        <f t="shared" ref="AO125" si="329">AO90</f>
        <v>718.29</v>
      </c>
      <c r="AP125" s="444">
        <f t="shared" si="323"/>
        <v>711.68000000000006</v>
      </c>
      <c r="AQ125" s="408">
        <f t="shared" ref="AQ125" si="330">AQ90</f>
        <v>715.24</v>
      </c>
      <c r="AR125" s="444">
        <f t="shared" si="323"/>
        <v>708.11</v>
      </c>
      <c r="AS125" s="444">
        <f>AS90</f>
        <v>711.93</v>
      </c>
      <c r="AT125" s="408">
        <f>AT90</f>
        <v>711.93</v>
      </c>
    </row>
    <row r="126" spans="1:46">
      <c r="A126" s="911" t="s">
        <v>873</v>
      </c>
      <c r="B126" s="912"/>
      <c r="C126" s="912"/>
      <c r="D126" s="912"/>
      <c r="E126" s="912"/>
      <c r="F126" s="912"/>
      <c r="G126" s="912"/>
      <c r="H126" s="912"/>
      <c r="I126" s="912"/>
      <c r="J126" s="913"/>
      <c r="K126" s="444">
        <f t="shared" ref="K126:AR126" si="331">K99</f>
        <v>305.32</v>
      </c>
      <c r="L126" s="444">
        <f t="shared" si="331"/>
        <v>305.32</v>
      </c>
      <c r="M126" s="444">
        <f t="shared" si="331"/>
        <v>305.32</v>
      </c>
      <c r="N126" s="408">
        <f t="shared" si="331"/>
        <v>305.32</v>
      </c>
      <c r="O126" s="408">
        <f t="shared" si="331"/>
        <v>305.32</v>
      </c>
      <c r="P126" s="444">
        <f t="shared" si="331"/>
        <v>305.32</v>
      </c>
      <c r="Q126" s="444">
        <f t="shared" si="331"/>
        <v>305.32</v>
      </c>
      <c r="R126" s="714">
        <f t="shared" ref="R126:T126" si="332">R99</f>
        <v>305.32</v>
      </c>
      <c r="S126" s="714">
        <f t="shared" si="332"/>
        <v>305.32</v>
      </c>
      <c r="T126" s="714">
        <f t="shared" si="332"/>
        <v>305.32</v>
      </c>
      <c r="U126" s="714">
        <f t="shared" si="331"/>
        <v>305.32</v>
      </c>
      <c r="V126" s="408">
        <f t="shared" ref="V126:W126" si="333">V99</f>
        <v>305.32</v>
      </c>
      <c r="W126" s="408">
        <f t="shared" si="333"/>
        <v>305.32</v>
      </c>
      <c r="X126" s="408">
        <f t="shared" ref="X126:Y126" si="334">X99</f>
        <v>305.32</v>
      </c>
      <c r="Y126" s="408">
        <f t="shared" si="334"/>
        <v>305.32</v>
      </c>
      <c r="Z126" s="408">
        <f t="shared" ref="Z126:AA126" si="335">Z99</f>
        <v>305.32</v>
      </c>
      <c r="AA126" s="408">
        <f t="shared" si="335"/>
        <v>305.32</v>
      </c>
      <c r="AB126" s="408">
        <f t="shared" ref="AB126:AD126" si="336">AB99</f>
        <v>305.32</v>
      </c>
      <c r="AC126" s="408">
        <f t="shared" si="336"/>
        <v>305.32</v>
      </c>
      <c r="AD126" s="408">
        <f t="shared" si="336"/>
        <v>305.32</v>
      </c>
      <c r="AE126" s="444">
        <f t="shared" si="331"/>
        <v>305.32</v>
      </c>
      <c r="AF126" s="444">
        <f t="shared" si="331"/>
        <v>305.32</v>
      </c>
      <c r="AG126" s="408">
        <f t="shared" si="331"/>
        <v>305.32</v>
      </c>
      <c r="AH126" s="408">
        <f t="shared" si="331"/>
        <v>305.32</v>
      </c>
      <c r="AI126" s="444">
        <f t="shared" si="331"/>
        <v>305.32</v>
      </c>
      <c r="AJ126" s="408">
        <f t="shared" si="331"/>
        <v>305.32</v>
      </c>
      <c r="AK126" s="444">
        <f t="shared" si="331"/>
        <v>305.32</v>
      </c>
      <c r="AL126" s="408">
        <f t="shared" si="331"/>
        <v>305.32</v>
      </c>
      <c r="AM126" s="444">
        <f t="shared" si="331"/>
        <v>305.32</v>
      </c>
      <c r="AN126" s="408">
        <f t="shared" si="331"/>
        <v>305.32</v>
      </c>
      <c r="AO126" s="408">
        <f t="shared" ref="AO126" si="337">AO99</f>
        <v>305.32</v>
      </c>
      <c r="AP126" s="444">
        <f t="shared" si="331"/>
        <v>305.32</v>
      </c>
      <c r="AQ126" s="408">
        <f t="shared" ref="AQ126" si="338">AQ99</f>
        <v>305.32</v>
      </c>
      <c r="AR126" s="444">
        <f t="shared" si="331"/>
        <v>305.32</v>
      </c>
      <c r="AS126" s="444">
        <f>AS99</f>
        <v>305.32</v>
      </c>
      <c r="AT126" s="408">
        <f>AT99</f>
        <v>305.32</v>
      </c>
    </row>
    <row r="127" spans="1:46">
      <c r="A127" s="977" t="s">
        <v>175</v>
      </c>
      <c r="B127" s="978"/>
      <c r="C127" s="978"/>
      <c r="D127" s="978"/>
      <c r="E127" s="978"/>
      <c r="F127" s="978"/>
      <c r="G127" s="978"/>
      <c r="H127" s="978"/>
      <c r="I127" s="978"/>
      <c r="J127" s="442"/>
      <c r="K127" s="444">
        <f t="shared" ref="K127:AR127" si="339">SUM(K122:K126)</f>
        <v>26273.344999999998</v>
      </c>
      <c r="L127" s="444">
        <f t="shared" si="339"/>
        <v>8405.7818000000007</v>
      </c>
      <c r="M127" s="444">
        <f t="shared" si="339"/>
        <v>7277.9785999999986</v>
      </c>
      <c r="N127" s="408">
        <f t="shared" si="339"/>
        <v>7277.9785999999986</v>
      </c>
      <c r="O127" s="408">
        <f t="shared" si="339"/>
        <v>6273.2825999999995</v>
      </c>
      <c r="P127" s="444">
        <f t="shared" si="339"/>
        <v>7277.9785999999986</v>
      </c>
      <c r="Q127" s="444">
        <f t="shared" si="339"/>
        <v>7277.9785999999986</v>
      </c>
      <c r="R127" s="714">
        <f t="shared" ref="R127:T127" si="340">SUM(R122:R126)</f>
        <v>7040.0105999999996</v>
      </c>
      <c r="S127" s="714">
        <f t="shared" si="340"/>
        <v>7682.0019890909098</v>
      </c>
      <c r="T127" s="714">
        <f t="shared" si="340"/>
        <v>7040.0105999999996</v>
      </c>
      <c r="U127" s="714">
        <f t="shared" si="339"/>
        <v>7682.0019890909098</v>
      </c>
      <c r="V127" s="408">
        <f t="shared" ref="V127:W127" si="341">SUM(V122:V126)</f>
        <v>7277.9785999999986</v>
      </c>
      <c r="W127" s="408">
        <f t="shared" si="341"/>
        <v>7277.9785999999986</v>
      </c>
      <c r="X127" s="408">
        <f t="shared" ref="X127:Y127" si="342">SUM(X122:X126)</f>
        <v>7277.9785999999986</v>
      </c>
      <c r="Y127" s="408">
        <f t="shared" si="342"/>
        <v>6273.2825999999995</v>
      </c>
      <c r="Z127" s="408">
        <f t="shared" ref="Z127:AA127" si="343">SUM(Z122:Z126)</f>
        <v>7323.861899999999</v>
      </c>
      <c r="AA127" s="408">
        <f t="shared" si="343"/>
        <v>7277.9785999999986</v>
      </c>
      <c r="AB127" s="408">
        <f t="shared" ref="AB127:AD127" si="344">SUM(AB122:AB126)</f>
        <v>5937.8385999999991</v>
      </c>
      <c r="AC127" s="408">
        <f t="shared" si="344"/>
        <v>5171.9025999999994</v>
      </c>
      <c r="AD127" s="408">
        <f t="shared" si="344"/>
        <v>7183.8805999999986</v>
      </c>
      <c r="AE127" s="444">
        <f t="shared" si="339"/>
        <v>7154.4305999999997</v>
      </c>
      <c r="AF127" s="444">
        <f t="shared" si="339"/>
        <v>7164.2505999999994</v>
      </c>
      <c r="AG127" s="408">
        <f t="shared" si="339"/>
        <v>7208.4305999999988</v>
      </c>
      <c r="AH127" s="408">
        <f t="shared" si="339"/>
        <v>7208.4305999999988</v>
      </c>
      <c r="AI127" s="444">
        <f t="shared" si="339"/>
        <v>7139.7005999999992</v>
      </c>
      <c r="AJ127" s="408">
        <f t="shared" si="339"/>
        <v>7203.5205999999998</v>
      </c>
      <c r="AK127" s="444">
        <f t="shared" si="339"/>
        <v>7201.0705999999991</v>
      </c>
      <c r="AL127" s="408">
        <f t="shared" si="339"/>
        <v>7208.4305999999988</v>
      </c>
      <c r="AM127" s="444">
        <f t="shared" si="339"/>
        <v>7164.2505999999994</v>
      </c>
      <c r="AN127" s="408">
        <f t="shared" si="339"/>
        <v>7213.3305999999993</v>
      </c>
      <c r="AO127" s="408">
        <f t="shared" ref="AO127" si="345">SUM(AO122:AO126)</f>
        <v>7237.8805999999995</v>
      </c>
      <c r="AP127" s="444">
        <f t="shared" si="339"/>
        <v>7174.0706</v>
      </c>
      <c r="AQ127" s="408">
        <f t="shared" ref="AQ127" si="346">SUM(AQ122:AQ126)</f>
        <v>7208.4305999999988</v>
      </c>
      <c r="AR127" s="444">
        <f t="shared" si="339"/>
        <v>7139.7005999999992</v>
      </c>
      <c r="AS127" s="444">
        <f>SUM(AS122:AS126)</f>
        <v>7176.5205999999998</v>
      </c>
      <c r="AT127" s="408">
        <f>SUM(AT122:AT126)</f>
        <v>7176.5205999999998</v>
      </c>
    </row>
    <row r="128" spans="1:46">
      <c r="A128" s="911" t="s">
        <v>222</v>
      </c>
      <c r="B128" s="912"/>
      <c r="C128" s="912"/>
      <c r="D128" s="912"/>
      <c r="E128" s="912"/>
      <c r="F128" s="912"/>
      <c r="G128" s="912"/>
      <c r="H128" s="912"/>
      <c r="I128" s="912"/>
      <c r="J128" s="913"/>
      <c r="K128" s="444">
        <f t="shared" ref="K128:AR128" si="347">K119</f>
        <v>6288.9400000000005</v>
      </c>
      <c r="L128" s="444">
        <f t="shared" si="347"/>
        <v>2012.05</v>
      </c>
      <c r="M128" s="444">
        <f t="shared" si="347"/>
        <v>1742.1</v>
      </c>
      <c r="N128" s="408">
        <f t="shared" si="347"/>
        <v>1742.1</v>
      </c>
      <c r="O128" s="408">
        <f t="shared" si="347"/>
        <v>1501.6</v>
      </c>
      <c r="P128" s="444">
        <f t="shared" si="347"/>
        <v>1742.1</v>
      </c>
      <c r="Q128" s="444">
        <f t="shared" si="347"/>
        <v>1742.1</v>
      </c>
      <c r="R128" s="714">
        <f t="shared" ref="R128:T128" si="348">R119</f>
        <v>1685.1399999999999</v>
      </c>
      <c r="S128" s="714">
        <f t="shared" si="348"/>
        <v>1838.81</v>
      </c>
      <c r="T128" s="714">
        <f t="shared" si="348"/>
        <v>1685.1399999999999</v>
      </c>
      <c r="U128" s="714">
        <f t="shared" si="347"/>
        <v>1838.81</v>
      </c>
      <c r="V128" s="408">
        <f t="shared" ref="V128:W128" si="349">V119</f>
        <v>1742.1</v>
      </c>
      <c r="W128" s="408">
        <f t="shared" si="349"/>
        <v>1742.1</v>
      </c>
      <c r="X128" s="408">
        <f t="shared" ref="X128:Y128" si="350">X119</f>
        <v>1742.1</v>
      </c>
      <c r="Y128" s="408">
        <f t="shared" si="350"/>
        <v>1501.6</v>
      </c>
      <c r="Z128" s="408">
        <f t="shared" ref="Z128:AA128" si="351">Z119</f>
        <v>1753.0900000000001</v>
      </c>
      <c r="AA128" s="408">
        <f t="shared" si="351"/>
        <v>1742.1</v>
      </c>
      <c r="AB128" s="408">
        <f t="shared" ref="AB128:AD128" si="352">AB119</f>
        <v>1421.31</v>
      </c>
      <c r="AC128" s="408">
        <f t="shared" si="352"/>
        <v>1237.98</v>
      </c>
      <c r="AD128" s="408">
        <f t="shared" si="352"/>
        <v>1924.8500000000001</v>
      </c>
      <c r="AE128" s="444">
        <f t="shared" si="347"/>
        <v>1813.57</v>
      </c>
      <c r="AF128" s="444">
        <f t="shared" si="347"/>
        <v>1714.88</v>
      </c>
      <c r="AG128" s="408">
        <f t="shared" si="347"/>
        <v>2038.0099999999998</v>
      </c>
      <c r="AH128" s="408">
        <f t="shared" si="347"/>
        <v>2038.0099999999998</v>
      </c>
      <c r="AI128" s="444">
        <f t="shared" si="347"/>
        <v>2018.57</v>
      </c>
      <c r="AJ128" s="408">
        <f t="shared" si="347"/>
        <v>1826.02</v>
      </c>
      <c r="AK128" s="444">
        <f t="shared" si="347"/>
        <v>1825.3899999999999</v>
      </c>
      <c r="AL128" s="408">
        <f t="shared" si="347"/>
        <v>2038.0099999999998</v>
      </c>
      <c r="AM128" s="444">
        <f t="shared" si="347"/>
        <v>2025.52</v>
      </c>
      <c r="AN128" s="408">
        <f t="shared" si="347"/>
        <v>1726.63</v>
      </c>
      <c r="AO128" s="408">
        <f t="shared" ref="AO128" si="353">AO119</f>
        <v>2046.34</v>
      </c>
      <c r="AP128" s="444">
        <f t="shared" si="347"/>
        <v>1818.55</v>
      </c>
      <c r="AQ128" s="408">
        <f t="shared" ref="AQ128" si="354">AQ119</f>
        <v>2038.0099999999998</v>
      </c>
      <c r="AR128" s="444">
        <f t="shared" si="347"/>
        <v>2018.57</v>
      </c>
      <c r="AS128" s="444">
        <f>AS119</f>
        <v>1922.8700000000001</v>
      </c>
      <c r="AT128" s="408">
        <f>AT119</f>
        <v>1922.8700000000001</v>
      </c>
    </row>
    <row r="129" spans="1:46">
      <c r="A129" s="945" t="s">
        <v>889</v>
      </c>
      <c r="B129" s="946"/>
      <c r="C129" s="946"/>
      <c r="D129" s="946"/>
      <c r="E129" s="946"/>
      <c r="F129" s="946"/>
      <c r="G129" s="946"/>
      <c r="H129" s="946"/>
      <c r="I129" s="946"/>
      <c r="J129" s="947"/>
      <c r="K129" s="375">
        <f>ROUND((K127+K128),2)</f>
        <v>32562.29</v>
      </c>
      <c r="L129" s="375">
        <f t="shared" ref="L129:AT129" si="355">ROUND((L127+L128),2)</f>
        <v>10417.83</v>
      </c>
      <c r="M129" s="375">
        <f t="shared" si="355"/>
        <v>9020.08</v>
      </c>
      <c r="N129" s="376">
        <f t="shared" si="355"/>
        <v>9020.08</v>
      </c>
      <c r="O129" s="376">
        <f t="shared" si="355"/>
        <v>7774.88</v>
      </c>
      <c r="P129" s="375">
        <f t="shared" si="355"/>
        <v>9020.08</v>
      </c>
      <c r="Q129" s="375">
        <f t="shared" si="355"/>
        <v>9020.08</v>
      </c>
      <c r="R129" s="732">
        <f t="shared" si="355"/>
        <v>8725.15</v>
      </c>
      <c r="S129" s="732">
        <f t="shared" si="355"/>
        <v>9520.81</v>
      </c>
      <c r="T129" s="732">
        <f t="shared" si="355"/>
        <v>8725.15</v>
      </c>
      <c r="U129" s="732">
        <f t="shared" si="355"/>
        <v>9520.81</v>
      </c>
      <c r="V129" s="376">
        <f t="shared" si="355"/>
        <v>9020.08</v>
      </c>
      <c r="W129" s="376">
        <f t="shared" si="355"/>
        <v>9020.08</v>
      </c>
      <c r="X129" s="376">
        <f t="shared" si="355"/>
        <v>9020.08</v>
      </c>
      <c r="Y129" s="376">
        <f t="shared" si="355"/>
        <v>7774.88</v>
      </c>
      <c r="Z129" s="376">
        <f t="shared" si="355"/>
        <v>9076.9500000000007</v>
      </c>
      <c r="AA129" s="376">
        <f t="shared" si="355"/>
        <v>9020.08</v>
      </c>
      <c r="AB129" s="376">
        <f t="shared" si="355"/>
        <v>7359.15</v>
      </c>
      <c r="AC129" s="376">
        <f t="shared" si="355"/>
        <v>6409.88</v>
      </c>
      <c r="AD129" s="376">
        <f t="shared" si="355"/>
        <v>9108.73</v>
      </c>
      <c r="AE129" s="791">
        <f t="shared" si="355"/>
        <v>8968</v>
      </c>
      <c r="AF129" s="375">
        <f t="shared" si="355"/>
        <v>8879.1299999999992</v>
      </c>
      <c r="AG129" s="376">
        <f t="shared" si="355"/>
        <v>9246.44</v>
      </c>
      <c r="AH129" s="376">
        <f t="shared" si="355"/>
        <v>9246.44</v>
      </c>
      <c r="AI129" s="375">
        <f t="shared" si="355"/>
        <v>9158.27</v>
      </c>
      <c r="AJ129" s="376">
        <f t="shared" si="355"/>
        <v>9029.5400000000009</v>
      </c>
      <c r="AK129" s="375">
        <f t="shared" si="355"/>
        <v>9026.4599999999991</v>
      </c>
      <c r="AL129" s="376">
        <f t="shared" si="355"/>
        <v>9246.44</v>
      </c>
      <c r="AM129" s="375">
        <f t="shared" si="355"/>
        <v>9189.77</v>
      </c>
      <c r="AN129" s="376">
        <f t="shared" si="355"/>
        <v>8939.9599999999991</v>
      </c>
      <c r="AO129" s="376">
        <f t="shared" si="355"/>
        <v>9284.2199999999993</v>
      </c>
      <c r="AP129" s="375">
        <f t="shared" si="355"/>
        <v>8992.6200000000008</v>
      </c>
      <c r="AQ129" s="376">
        <f t="shared" si="355"/>
        <v>9246.44</v>
      </c>
      <c r="AR129" s="375">
        <f t="shared" si="355"/>
        <v>9158.27</v>
      </c>
      <c r="AS129" s="375">
        <f t="shared" si="355"/>
        <v>9099.39</v>
      </c>
      <c r="AT129" s="376">
        <f t="shared" si="355"/>
        <v>9099.39</v>
      </c>
    </row>
    <row r="130" spans="1:46" s="413" customFormat="1" ht="51" customHeight="1">
      <c r="A130" s="995"/>
      <c r="B130" s="995"/>
      <c r="C130" s="995"/>
      <c r="D130" s="995"/>
      <c r="E130" s="995"/>
      <c r="F130" s="995"/>
      <c r="G130" s="995"/>
      <c r="H130" s="995"/>
      <c r="I130" s="995"/>
      <c r="J130" s="995"/>
      <c r="K130" s="414"/>
      <c r="L130" s="414"/>
      <c r="M130" s="414"/>
      <c r="P130" s="414"/>
      <c r="Q130" s="414"/>
      <c r="R130" s="585"/>
      <c r="S130" s="585"/>
      <c r="T130" s="585"/>
      <c r="U130" s="585"/>
      <c r="AE130" s="477"/>
      <c r="AG130" s="634"/>
      <c r="AI130" s="414"/>
      <c r="AK130" s="414"/>
      <c r="AM130" s="414"/>
      <c r="AP130" s="414"/>
      <c r="AR130" s="414"/>
      <c r="AS130" s="414"/>
    </row>
    <row r="131" spans="1:46">
      <c r="A131" s="948" t="s">
        <v>890</v>
      </c>
      <c r="B131" s="948"/>
      <c r="C131" s="948"/>
      <c r="D131" s="948"/>
      <c r="E131" s="948"/>
      <c r="F131" s="948"/>
      <c r="G131" s="948"/>
      <c r="H131" s="948"/>
      <c r="I131" s="948"/>
      <c r="J131" s="948"/>
      <c r="K131" s="375">
        <v>0</v>
      </c>
      <c r="L131" s="375">
        <v>0</v>
      </c>
      <c r="M131" s="375">
        <v>0</v>
      </c>
      <c r="N131" s="378">
        <v>0</v>
      </c>
      <c r="O131" s="378">
        <v>0</v>
      </c>
      <c r="P131" s="375">
        <v>0</v>
      </c>
      <c r="Q131" s="375">
        <v>0</v>
      </c>
      <c r="R131" s="733">
        <v>0</v>
      </c>
      <c r="S131" s="733">
        <v>0</v>
      </c>
      <c r="T131" s="733">
        <v>0</v>
      </c>
      <c r="U131" s="733">
        <v>0</v>
      </c>
      <c r="V131" s="378">
        <v>0</v>
      </c>
      <c r="W131" s="378">
        <v>0</v>
      </c>
      <c r="X131" s="378">
        <v>0</v>
      </c>
      <c r="Y131" s="378">
        <v>0</v>
      </c>
      <c r="Z131" s="378">
        <v>0</v>
      </c>
      <c r="AA131" s="378">
        <v>0</v>
      </c>
      <c r="AB131" s="378">
        <v>0</v>
      </c>
      <c r="AC131" s="378">
        <v>0</v>
      </c>
      <c r="AD131" s="378">
        <v>0</v>
      </c>
      <c r="AE131" s="791">
        <v>0</v>
      </c>
      <c r="AF131" s="375">
        <v>0</v>
      </c>
      <c r="AG131" s="378">
        <v>0</v>
      </c>
      <c r="AH131" s="378">
        <v>0</v>
      </c>
      <c r="AI131" s="375">
        <v>0</v>
      </c>
      <c r="AJ131" s="378">
        <v>0</v>
      </c>
      <c r="AK131" s="375">
        <v>0</v>
      </c>
      <c r="AL131" s="378">
        <v>0</v>
      </c>
      <c r="AM131" s="375">
        <v>0</v>
      </c>
      <c r="AN131" s="378">
        <v>0</v>
      </c>
      <c r="AO131" s="378">
        <v>0</v>
      </c>
      <c r="AP131" s="375">
        <v>0</v>
      </c>
      <c r="AQ131" s="378">
        <v>0</v>
      </c>
      <c r="AR131" s="375">
        <v>0</v>
      </c>
      <c r="AS131" s="375">
        <v>0</v>
      </c>
      <c r="AT131" s="378">
        <v>0</v>
      </c>
    </row>
    <row r="132" spans="1:46" ht="86.25" customHeight="1">
      <c r="A132" s="995" t="s">
        <v>891</v>
      </c>
      <c r="B132" s="995"/>
      <c r="C132" s="995"/>
      <c r="D132" s="995"/>
      <c r="E132" s="995"/>
      <c r="F132" s="995"/>
      <c r="G132" s="995"/>
      <c r="H132" s="995"/>
      <c r="I132" s="995"/>
      <c r="J132" s="995"/>
      <c r="K132" s="384"/>
      <c r="L132" s="384"/>
      <c r="M132" s="384"/>
      <c r="N132" s="381"/>
      <c r="O132" s="381"/>
      <c r="P132" s="385"/>
      <c r="Q132" s="385"/>
      <c r="R132" s="734"/>
      <c r="S132" s="734"/>
      <c r="T132" s="734"/>
      <c r="U132" s="734"/>
      <c r="V132" s="383"/>
      <c r="W132" s="383"/>
      <c r="X132" s="383"/>
      <c r="Y132" s="383"/>
      <c r="Z132" s="383"/>
      <c r="AA132" s="383"/>
      <c r="AB132" s="383"/>
      <c r="AC132" s="383"/>
      <c r="AD132" s="383"/>
      <c r="AE132" s="792"/>
      <c r="AF132" s="385"/>
      <c r="AG132" s="383"/>
      <c r="AH132" s="383"/>
      <c r="AI132" s="385"/>
      <c r="AJ132" s="383"/>
      <c r="AK132" s="385"/>
      <c r="AL132" s="383"/>
      <c r="AM132" s="385"/>
      <c r="AN132" s="383"/>
      <c r="AO132" s="383"/>
      <c r="AP132" s="385"/>
      <c r="AQ132" s="383"/>
      <c r="AR132" s="385"/>
      <c r="AS132" s="385"/>
      <c r="AT132" s="383"/>
    </row>
    <row r="133" spans="1:46">
      <c r="A133" s="988" t="s">
        <v>892</v>
      </c>
      <c r="B133" s="988"/>
      <c r="C133" s="988"/>
      <c r="D133" s="988"/>
      <c r="E133" s="988"/>
      <c r="F133" s="988"/>
      <c r="G133" s="988"/>
      <c r="H133" s="988"/>
      <c r="I133" s="988"/>
      <c r="J133" s="988"/>
      <c r="K133" s="404" t="s">
        <v>830</v>
      </c>
      <c r="L133" s="404" t="s">
        <v>830</v>
      </c>
      <c r="M133" s="404" t="s">
        <v>830</v>
      </c>
      <c r="N133" s="552" t="s">
        <v>830</v>
      </c>
      <c r="O133" s="552" t="s">
        <v>830</v>
      </c>
      <c r="P133" s="404" t="s">
        <v>830</v>
      </c>
      <c r="Q133" s="404" t="s">
        <v>830</v>
      </c>
      <c r="R133" s="712" t="s">
        <v>830</v>
      </c>
      <c r="S133" s="712" t="s">
        <v>830</v>
      </c>
      <c r="T133" s="712" t="s">
        <v>830</v>
      </c>
      <c r="U133" s="712" t="s">
        <v>830</v>
      </c>
      <c r="V133" s="552" t="s">
        <v>830</v>
      </c>
      <c r="W133" s="552" t="s">
        <v>830</v>
      </c>
      <c r="X133" s="552" t="s">
        <v>830</v>
      </c>
      <c r="Y133" s="552" t="s">
        <v>830</v>
      </c>
      <c r="Z133" s="552" t="s">
        <v>830</v>
      </c>
      <c r="AA133" s="552" t="s">
        <v>830</v>
      </c>
      <c r="AB133" s="552" t="s">
        <v>830</v>
      </c>
      <c r="AC133" s="552" t="s">
        <v>830</v>
      </c>
      <c r="AD133" s="552" t="s">
        <v>830</v>
      </c>
      <c r="AE133" s="784" t="s">
        <v>830</v>
      </c>
      <c r="AF133" s="404" t="s">
        <v>830</v>
      </c>
      <c r="AG133" s="552" t="s">
        <v>830</v>
      </c>
      <c r="AH133" s="552" t="s">
        <v>830</v>
      </c>
      <c r="AI133" s="404" t="s">
        <v>830</v>
      </c>
      <c r="AJ133" s="552" t="s">
        <v>830</v>
      </c>
      <c r="AK133" s="404" t="s">
        <v>830</v>
      </c>
      <c r="AL133" s="552" t="s">
        <v>830</v>
      </c>
      <c r="AM133" s="404" t="s">
        <v>830</v>
      </c>
      <c r="AN133" s="552" t="s">
        <v>830</v>
      </c>
      <c r="AO133" s="552" t="s">
        <v>830</v>
      </c>
      <c r="AP133" s="404" t="s">
        <v>830</v>
      </c>
      <c r="AQ133" s="552" t="s">
        <v>830</v>
      </c>
      <c r="AR133" s="404" t="s">
        <v>830</v>
      </c>
      <c r="AS133" s="404" t="s">
        <v>830</v>
      </c>
      <c r="AT133" s="552" t="s">
        <v>830</v>
      </c>
    </row>
    <row r="134" spans="1:46" ht="62.25" customHeight="1">
      <c r="A134" s="992" t="s">
        <v>893</v>
      </c>
      <c r="B134" s="993"/>
      <c r="C134" s="993"/>
      <c r="D134" s="993"/>
      <c r="E134" s="993"/>
      <c r="F134" s="993"/>
      <c r="G134" s="993"/>
      <c r="H134" s="993"/>
      <c r="I134" s="993"/>
      <c r="J134" s="994"/>
      <c r="K134" s="375">
        <f>ROUND(SUM(K135:K138),2)</f>
        <v>4723.8</v>
      </c>
      <c r="L134" s="375">
        <f t="shared" ref="L134:AR134" si="356">SUM(L135:L138)</f>
        <v>1328.9220800000001</v>
      </c>
      <c r="M134" s="375">
        <f t="shared" si="356"/>
        <v>1107.4292799999998</v>
      </c>
      <c r="N134" s="376">
        <f t="shared" si="356"/>
        <v>1107.4292799999998</v>
      </c>
      <c r="O134" s="376">
        <f t="shared" si="356"/>
        <v>910.12800000000016</v>
      </c>
      <c r="P134" s="375">
        <f t="shared" si="356"/>
        <v>1107.4292799999998</v>
      </c>
      <c r="Q134" s="375">
        <f t="shared" si="356"/>
        <v>1107.4292799999998</v>
      </c>
      <c r="R134" s="732">
        <f t="shared" ref="R134:T134" si="357">SUM(R135:R138)</f>
        <v>1107.4292799999998</v>
      </c>
      <c r="S134" s="732">
        <f t="shared" si="357"/>
        <v>1229.8749600000001</v>
      </c>
      <c r="T134" s="732">
        <f t="shared" si="357"/>
        <v>1107.4292799999998</v>
      </c>
      <c r="U134" s="732">
        <f t="shared" si="356"/>
        <v>1229.8749600000001</v>
      </c>
      <c r="V134" s="376">
        <f t="shared" ref="V134:W134" si="358">SUM(V135:V138)</f>
        <v>1107.4292799999998</v>
      </c>
      <c r="W134" s="376">
        <f t="shared" si="358"/>
        <v>1107.4292799999998</v>
      </c>
      <c r="X134" s="376">
        <f t="shared" ref="X134:Y134" si="359">SUM(X135:X138)</f>
        <v>1107.4292799999998</v>
      </c>
      <c r="Y134" s="376">
        <f t="shared" si="359"/>
        <v>910.12800000000016</v>
      </c>
      <c r="Z134" s="376">
        <f t="shared" ref="Z134:AA134" si="360">SUM(Z135:Z138)</f>
        <v>1162.6101600000002</v>
      </c>
      <c r="AA134" s="376">
        <f t="shared" si="360"/>
        <v>1107.4292799999998</v>
      </c>
      <c r="AB134" s="376">
        <f t="shared" ref="AB134:AD134" si="361">SUM(AB135:AB138)</f>
        <v>851.86207999999999</v>
      </c>
      <c r="AC134" s="376">
        <f t="shared" si="361"/>
        <v>700.09663999999998</v>
      </c>
      <c r="AD134" s="376">
        <f t="shared" si="361"/>
        <v>1107.4292799999998</v>
      </c>
      <c r="AE134" s="791">
        <f t="shared" si="356"/>
        <v>1107.4292799999998</v>
      </c>
      <c r="AF134" s="375">
        <f t="shared" si="356"/>
        <v>1107.4292799999998</v>
      </c>
      <c r="AG134" s="376">
        <f t="shared" si="356"/>
        <v>1107.4292799999998</v>
      </c>
      <c r="AH134" s="376">
        <f t="shared" si="356"/>
        <v>1107.4292799999998</v>
      </c>
      <c r="AI134" s="375">
        <f t="shared" si="356"/>
        <v>1107.4292799999998</v>
      </c>
      <c r="AJ134" s="376">
        <f t="shared" si="356"/>
        <v>1107.4292799999998</v>
      </c>
      <c r="AK134" s="375">
        <f t="shared" si="356"/>
        <v>1107.4292799999998</v>
      </c>
      <c r="AL134" s="376">
        <f t="shared" si="356"/>
        <v>1107.4292799999998</v>
      </c>
      <c r="AM134" s="375">
        <f t="shared" si="356"/>
        <v>1107.4292799999998</v>
      </c>
      <c r="AN134" s="376">
        <f t="shared" si="356"/>
        <v>1107.4292799999998</v>
      </c>
      <c r="AO134" s="376">
        <f t="shared" ref="AO134" si="362">SUM(AO135:AO138)</f>
        <v>1107.4292799999998</v>
      </c>
      <c r="AP134" s="375">
        <f t="shared" si="356"/>
        <v>1107.4292799999998</v>
      </c>
      <c r="AQ134" s="376">
        <f t="shared" ref="AQ134" si="363">SUM(AQ135:AQ138)</f>
        <v>1107.4292799999998</v>
      </c>
      <c r="AR134" s="375">
        <f t="shared" si="356"/>
        <v>1107.4292799999998</v>
      </c>
      <c r="AS134" s="375">
        <f>SUM(AS135:AS138)</f>
        <v>1107.4292799999998</v>
      </c>
      <c r="AT134" s="376">
        <f>SUM(AT135:AT138)</f>
        <v>1107.4292799999998</v>
      </c>
    </row>
    <row r="135" spans="1:46">
      <c r="A135" s="981" t="s">
        <v>894</v>
      </c>
      <c r="B135" s="982"/>
      <c r="C135" s="982"/>
      <c r="D135" s="982"/>
      <c r="E135" s="982"/>
      <c r="F135" s="982"/>
      <c r="G135" s="982"/>
      <c r="H135" s="982"/>
      <c r="I135" s="982"/>
      <c r="J135" s="983"/>
      <c r="K135" s="382">
        <f>ROUND(K18+(K18*$J$33),2)</f>
        <v>1589.18</v>
      </c>
      <c r="L135" s="382">
        <f t="shared" ref="L135:AT135" si="364">L18+(L18*$J$33)</f>
        <v>447.07608000000005</v>
      </c>
      <c r="M135" s="382">
        <f t="shared" si="364"/>
        <v>372.56111999999996</v>
      </c>
      <c r="N135" s="378">
        <f t="shared" si="364"/>
        <v>372.56111999999996</v>
      </c>
      <c r="O135" s="378">
        <f t="shared" si="364"/>
        <v>306.18576000000002</v>
      </c>
      <c r="P135" s="382">
        <f t="shared" si="364"/>
        <v>372.56111999999996</v>
      </c>
      <c r="Q135" s="382">
        <f t="shared" si="364"/>
        <v>372.56111999999996</v>
      </c>
      <c r="R135" s="733">
        <f t="shared" si="364"/>
        <v>372.56111999999996</v>
      </c>
      <c r="S135" s="733">
        <f t="shared" si="364"/>
        <v>413.7516</v>
      </c>
      <c r="T135" s="733">
        <f t="shared" si="364"/>
        <v>372.56111999999996</v>
      </c>
      <c r="U135" s="733">
        <f t="shared" si="364"/>
        <v>413.7516</v>
      </c>
      <c r="V135" s="378">
        <f t="shared" si="364"/>
        <v>372.56111999999996</v>
      </c>
      <c r="W135" s="378">
        <f t="shared" si="364"/>
        <v>372.56111999999996</v>
      </c>
      <c r="X135" s="378">
        <f t="shared" si="364"/>
        <v>372.56111999999996</v>
      </c>
      <c r="Y135" s="378">
        <f t="shared" si="364"/>
        <v>306.18576000000002</v>
      </c>
      <c r="Z135" s="378">
        <f t="shared" si="364"/>
        <v>391.12488000000008</v>
      </c>
      <c r="AA135" s="378">
        <f t="shared" si="364"/>
        <v>372.56111999999996</v>
      </c>
      <c r="AB135" s="378">
        <f t="shared" si="364"/>
        <v>286.58232000000004</v>
      </c>
      <c r="AC135" s="378">
        <f t="shared" ref="AC135" si="365">AC18+(AC18*$J$33)</f>
        <v>235.52856</v>
      </c>
      <c r="AD135" s="378">
        <f t="shared" si="364"/>
        <v>372.56111999999996</v>
      </c>
      <c r="AE135" s="793">
        <f t="shared" si="364"/>
        <v>372.56111999999996</v>
      </c>
      <c r="AF135" s="382">
        <f t="shared" si="364"/>
        <v>372.56111999999996</v>
      </c>
      <c r="AG135" s="378">
        <f t="shared" si="364"/>
        <v>372.56111999999996</v>
      </c>
      <c r="AH135" s="378">
        <f t="shared" si="364"/>
        <v>372.56111999999996</v>
      </c>
      <c r="AI135" s="382">
        <f t="shared" si="364"/>
        <v>372.56111999999996</v>
      </c>
      <c r="AJ135" s="378">
        <f t="shared" si="364"/>
        <v>372.56111999999996</v>
      </c>
      <c r="AK135" s="382">
        <f t="shared" si="364"/>
        <v>372.56111999999996</v>
      </c>
      <c r="AL135" s="378">
        <f t="shared" si="364"/>
        <v>372.56111999999996</v>
      </c>
      <c r="AM135" s="382">
        <f t="shared" si="364"/>
        <v>372.56111999999996</v>
      </c>
      <c r="AN135" s="378">
        <f t="shared" si="364"/>
        <v>372.56111999999996</v>
      </c>
      <c r="AO135" s="378">
        <f t="shared" si="364"/>
        <v>372.56111999999996</v>
      </c>
      <c r="AP135" s="382">
        <f t="shared" si="364"/>
        <v>372.56111999999996</v>
      </c>
      <c r="AQ135" s="378">
        <f t="shared" si="364"/>
        <v>372.56111999999996</v>
      </c>
      <c r="AR135" s="382">
        <f t="shared" si="364"/>
        <v>372.56111999999996</v>
      </c>
      <c r="AS135" s="382">
        <f t="shared" si="364"/>
        <v>372.56111999999996</v>
      </c>
      <c r="AT135" s="378">
        <f t="shared" si="364"/>
        <v>372.56111999999996</v>
      </c>
    </row>
    <row r="136" spans="1:46">
      <c r="A136" s="981" t="s">
        <v>895</v>
      </c>
      <c r="B136" s="982"/>
      <c r="C136" s="982"/>
      <c r="D136" s="982"/>
      <c r="E136" s="982"/>
      <c r="F136" s="982"/>
      <c r="G136" s="982"/>
      <c r="H136" s="982"/>
      <c r="I136" s="982"/>
      <c r="J136" s="983"/>
      <c r="K136" s="382">
        <f>ROUND(K20+(K20*$J$33),2)</f>
        <v>2118.91</v>
      </c>
      <c r="L136" s="382">
        <f t="shared" ref="L136:AT136" si="366">L20+(L20*$J$33)</f>
        <v>596.10599999999999</v>
      </c>
      <c r="M136" s="382">
        <f t="shared" si="366"/>
        <v>496.74815999999998</v>
      </c>
      <c r="N136" s="378">
        <f t="shared" si="366"/>
        <v>496.74815999999998</v>
      </c>
      <c r="O136" s="378">
        <f t="shared" si="366"/>
        <v>408.25224000000003</v>
      </c>
      <c r="P136" s="382">
        <f t="shared" si="366"/>
        <v>496.74815999999998</v>
      </c>
      <c r="Q136" s="382">
        <f t="shared" si="366"/>
        <v>496.74815999999998</v>
      </c>
      <c r="R136" s="733">
        <f t="shared" si="366"/>
        <v>496.74815999999998</v>
      </c>
      <c r="S136" s="733">
        <f t="shared" si="366"/>
        <v>551.67336</v>
      </c>
      <c r="T136" s="733">
        <f t="shared" si="366"/>
        <v>496.74815999999998</v>
      </c>
      <c r="U136" s="733">
        <f t="shared" si="366"/>
        <v>551.67336</v>
      </c>
      <c r="V136" s="378">
        <f t="shared" si="366"/>
        <v>496.74815999999998</v>
      </c>
      <c r="W136" s="378">
        <f t="shared" si="366"/>
        <v>496.74815999999998</v>
      </c>
      <c r="X136" s="378">
        <f t="shared" si="366"/>
        <v>496.74815999999998</v>
      </c>
      <c r="Y136" s="378">
        <f t="shared" si="366"/>
        <v>408.25224000000003</v>
      </c>
      <c r="Z136" s="378">
        <f t="shared" si="366"/>
        <v>521.49528000000009</v>
      </c>
      <c r="AA136" s="378">
        <f t="shared" si="366"/>
        <v>496.74815999999998</v>
      </c>
      <c r="AB136" s="378">
        <f t="shared" si="366"/>
        <v>382.10975999999999</v>
      </c>
      <c r="AC136" s="378">
        <f t="shared" ref="AC136" si="367">AC20+(AC20*$J$33)</f>
        <v>314.03808000000004</v>
      </c>
      <c r="AD136" s="378">
        <f t="shared" si="366"/>
        <v>496.74815999999998</v>
      </c>
      <c r="AE136" s="793">
        <f t="shared" si="366"/>
        <v>496.74815999999998</v>
      </c>
      <c r="AF136" s="382">
        <f t="shared" si="366"/>
        <v>496.74815999999998</v>
      </c>
      <c r="AG136" s="378">
        <f t="shared" si="366"/>
        <v>496.74815999999998</v>
      </c>
      <c r="AH136" s="378">
        <f t="shared" si="366"/>
        <v>496.74815999999998</v>
      </c>
      <c r="AI136" s="382">
        <f t="shared" si="366"/>
        <v>496.74815999999998</v>
      </c>
      <c r="AJ136" s="378">
        <f t="shared" si="366"/>
        <v>496.74815999999998</v>
      </c>
      <c r="AK136" s="382">
        <f t="shared" si="366"/>
        <v>496.74815999999998</v>
      </c>
      <c r="AL136" s="378">
        <f t="shared" si="366"/>
        <v>496.74815999999998</v>
      </c>
      <c r="AM136" s="382">
        <f t="shared" si="366"/>
        <v>496.74815999999998</v>
      </c>
      <c r="AN136" s="378">
        <f t="shared" si="366"/>
        <v>496.74815999999998</v>
      </c>
      <c r="AO136" s="378">
        <f t="shared" si="366"/>
        <v>496.74815999999998</v>
      </c>
      <c r="AP136" s="382">
        <f t="shared" si="366"/>
        <v>496.74815999999998</v>
      </c>
      <c r="AQ136" s="378">
        <f t="shared" si="366"/>
        <v>496.74815999999998</v>
      </c>
      <c r="AR136" s="382">
        <f t="shared" si="366"/>
        <v>496.74815999999998</v>
      </c>
      <c r="AS136" s="382">
        <f t="shared" si="366"/>
        <v>496.74815999999998</v>
      </c>
      <c r="AT136" s="378">
        <f t="shared" si="366"/>
        <v>496.74815999999998</v>
      </c>
    </row>
    <row r="137" spans="1:46">
      <c r="A137" s="989" t="s">
        <v>896</v>
      </c>
      <c r="B137" s="990"/>
      <c r="C137" s="990"/>
      <c r="D137" s="990"/>
      <c r="E137" s="990"/>
      <c r="F137" s="990"/>
      <c r="G137" s="990"/>
      <c r="H137" s="990"/>
      <c r="I137" s="990"/>
      <c r="J137" s="991"/>
      <c r="K137" s="382"/>
      <c r="L137" s="382"/>
      <c r="M137" s="382"/>
      <c r="N137" s="378"/>
      <c r="O137" s="378"/>
      <c r="P137" s="382"/>
      <c r="Q137" s="382"/>
      <c r="R137" s="733"/>
      <c r="S137" s="733"/>
      <c r="T137" s="733"/>
      <c r="U137" s="733"/>
      <c r="V137" s="378"/>
      <c r="W137" s="378"/>
      <c r="X137" s="378"/>
      <c r="Y137" s="378"/>
      <c r="Z137" s="378"/>
      <c r="AA137" s="378"/>
      <c r="AB137" s="378"/>
      <c r="AC137" s="378"/>
      <c r="AD137" s="378"/>
      <c r="AE137" s="793"/>
      <c r="AF137" s="382"/>
      <c r="AG137" s="378"/>
      <c r="AH137" s="378"/>
      <c r="AI137" s="382"/>
      <c r="AJ137" s="378"/>
      <c r="AK137" s="382"/>
      <c r="AL137" s="378"/>
      <c r="AM137" s="382"/>
      <c r="AN137" s="378"/>
      <c r="AO137" s="378"/>
      <c r="AP137" s="382"/>
      <c r="AQ137" s="378"/>
      <c r="AR137" s="382"/>
      <c r="AS137" s="382"/>
      <c r="AT137" s="378"/>
    </row>
    <row r="138" spans="1:46">
      <c r="A138" s="984" t="s">
        <v>897</v>
      </c>
      <c r="B138" s="984"/>
      <c r="C138" s="984"/>
      <c r="D138" s="984"/>
      <c r="E138" s="984"/>
      <c r="F138" s="984"/>
      <c r="G138" s="984"/>
      <c r="H138" s="984"/>
      <c r="I138" s="984"/>
      <c r="J138" s="984"/>
      <c r="K138" s="382">
        <f>ROUND(K66,2)</f>
        <v>1015.71</v>
      </c>
      <c r="L138" s="382">
        <f t="shared" ref="L138:AR138" si="368">L66</f>
        <v>285.74</v>
      </c>
      <c r="M138" s="382">
        <f t="shared" si="368"/>
        <v>238.12</v>
      </c>
      <c r="N138" s="378">
        <f t="shared" si="368"/>
        <v>238.12</v>
      </c>
      <c r="O138" s="378">
        <f t="shared" si="368"/>
        <v>195.69</v>
      </c>
      <c r="P138" s="382">
        <f t="shared" si="368"/>
        <v>238.12</v>
      </c>
      <c r="Q138" s="382">
        <f t="shared" si="368"/>
        <v>238.12</v>
      </c>
      <c r="R138" s="733">
        <f t="shared" ref="R138:T138" si="369">R66</f>
        <v>238.12</v>
      </c>
      <c r="S138" s="733">
        <f t="shared" si="369"/>
        <v>264.45</v>
      </c>
      <c r="T138" s="733">
        <f t="shared" si="369"/>
        <v>238.12</v>
      </c>
      <c r="U138" s="733">
        <f t="shared" si="368"/>
        <v>264.45</v>
      </c>
      <c r="V138" s="378">
        <f t="shared" ref="V138:W138" si="370">V66</f>
        <v>238.12</v>
      </c>
      <c r="W138" s="378">
        <f t="shared" si="370"/>
        <v>238.12</v>
      </c>
      <c r="X138" s="378">
        <f t="shared" ref="X138:Y138" si="371">X66</f>
        <v>238.12</v>
      </c>
      <c r="Y138" s="378">
        <f t="shared" si="371"/>
        <v>195.69</v>
      </c>
      <c r="Z138" s="378">
        <f t="shared" ref="Z138:AA138" si="372">Z66</f>
        <v>249.99</v>
      </c>
      <c r="AA138" s="378">
        <f t="shared" si="372"/>
        <v>238.12</v>
      </c>
      <c r="AB138" s="378">
        <f t="shared" ref="AB138:AD138" si="373">AB66</f>
        <v>183.17</v>
      </c>
      <c r="AC138" s="378">
        <f t="shared" si="373"/>
        <v>150.53</v>
      </c>
      <c r="AD138" s="378">
        <f t="shared" si="373"/>
        <v>238.12</v>
      </c>
      <c r="AE138" s="793">
        <f t="shared" si="368"/>
        <v>238.12</v>
      </c>
      <c r="AF138" s="382">
        <f t="shared" si="368"/>
        <v>238.12</v>
      </c>
      <c r="AG138" s="378">
        <f t="shared" si="368"/>
        <v>238.12</v>
      </c>
      <c r="AH138" s="378">
        <f t="shared" si="368"/>
        <v>238.12</v>
      </c>
      <c r="AI138" s="382">
        <f t="shared" si="368"/>
        <v>238.12</v>
      </c>
      <c r="AJ138" s="378">
        <f t="shared" si="368"/>
        <v>238.12</v>
      </c>
      <c r="AK138" s="382">
        <f t="shared" si="368"/>
        <v>238.12</v>
      </c>
      <c r="AL138" s="378">
        <f t="shared" si="368"/>
        <v>238.12</v>
      </c>
      <c r="AM138" s="382">
        <f t="shared" si="368"/>
        <v>238.12</v>
      </c>
      <c r="AN138" s="378">
        <f t="shared" si="368"/>
        <v>238.12</v>
      </c>
      <c r="AO138" s="378">
        <f t="shared" ref="AO138" si="374">AO66</f>
        <v>238.12</v>
      </c>
      <c r="AP138" s="382">
        <f t="shared" si="368"/>
        <v>238.12</v>
      </c>
      <c r="AQ138" s="378">
        <f t="shared" ref="AQ138" si="375">AQ66</f>
        <v>238.12</v>
      </c>
      <c r="AR138" s="382">
        <f t="shared" si="368"/>
        <v>238.12</v>
      </c>
      <c r="AS138" s="382">
        <f>AS66</f>
        <v>238.12</v>
      </c>
      <c r="AT138" s="378">
        <f>AT66</f>
        <v>238.12</v>
      </c>
    </row>
    <row r="139" spans="1:46" s="401" customFormat="1" ht="51" customHeight="1">
      <c r="A139" s="880"/>
      <c r="B139" s="880"/>
      <c r="C139" s="880"/>
      <c r="D139" s="880"/>
      <c r="E139" s="880"/>
      <c r="F139" s="880"/>
      <c r="G139" s="880"/>
      <c r="H139" s="880"/>
      <c r="I139" s="880"/>
      <c r="J139" s="880"/>
      <c r="K139" s="612"/>
      <c r="L139" s="612"/>
      <c r="M139" s="612"/>
      <c r="N139" s="612"/>
      <c r="O139" s="612"/>
      <c r="P139" s="612"/>
      <c r="Q139" s="612"/>
      <c r="R139" s="612"/>
      <c r="S139" s="612"/>
      <c r="T139" s="612"/>
      <c r="U139" s="612"/>
      <c r="V139" s="612"/>
      <c r="W139" s="612"/>
      <c r="X139" s="612"/>
      <c r="Y139" s="612"/>
      <c r="Z139" s="612"/>
      <c r="AA139" s="612"/>
      <c r="AB139" s="612"/>
      <c r="AC139" s="612"/>
      <c r="AD139" s="612"/>
      <c r="AE139" s="794"/>
      <c r="AF139" s="612"/>
      <c r="AG139" s="612"/>
      <c r="AH139" s="612"/>
      <c r="AI139" s="612"/>
      <c r="AJ139" s="612"/>
      <c r="AK139" s="612"/>
      <c r="AL139" s="612"/>
      <c r="AM139" s="612"/>
      <c r="AN139" s="612"/>
      <c r="AO139" s="612"/>
      <c r="AP139" s="612"/>
      <c r="AQ139" s="612"/>
      <c r="AR139" s="612"/>
      <c r="AS139" s="612"/>
      <c r="AT139" s="612"/>
    </row>
    <row r="140" spans="1:46" s="401" customFormat="1">
      <c r="A140" s="973"/>
      <c r="B140" s="973"/>
      <c r="C140" s="973"/>
      <c r="D140" s="973"/>
      <c r="E140" s="973"/>
      <c r="F140" s="973"/>
      <c r="G140" s="973"/>
      <c r="H140" s="973"/>
      <c r="I140" s="973"/>
      <c r="J140" s="973"/>
      <c r="K140" s="613"/>
      <c r="L140" s="613"/>
      <c r="M140" s="613"/>
      <c r="N140" s="614"/>
      <c r="O140" s="614"/>
      <c r="P140" s="613"/>
      <c r="Q140" s="613"/>
      <c r="R140" s="614"/>
      <c r="S140" s="614"/>
      <c r="T140" s="614"/>
      <c r="U140" s="614"/>
      <c r="V140" s="614"/>
      <c r="W140" s="614"/>
      <c r="X140" s="614"/>
      <c r="Y140" s="614"/>
      <c r="Z140" s="614"/>
      <c r="AA140" s="614"/>
      <c r="AB140" s="614"/>
      <c r="AC140" s="614"/>
      <c r="AD140" s="614"/>
      <c r="AE140" s="795"/>
      <c r="AF140" s="613"/>
      <c r="AG140" s="614"/>
      <c r="AH140" s="614"/>
      <c r="AI140" s="613"/>
      <c r="AJ140" s="614"/>
      <c r="AK140" s="613"/>
      <c r="AL140" s="614"/>
      <c r="AM140" s="613"/>
      <c r="AN140" s="614"/>
      <c r="AO140" s="614"/>
      <c r="AP140" s="613"/>
      <c r="AQ140" s="614"/>
      <c r="AR140" s="613"/>
      <c r="AS140" s="613"/>
      <c r="AT140" s="614"/>
    </row>
    <row r="141" spans="1:46" s="401" customFormat="1" ht="49.5" customHeight="1">
      <c r="L141" s="610"/>
      <c r="M141" s="610"/>
      <c r="N141" s="611"/>
      <c r="O141" s="611"/>
      <c r="P141" s="502"/>
      <c r="Q141" s="502"/>
      <c r="R141" s="502"/>
      <c r="S141" s="502"/>
      <c r="T141" s="502"/>
      <c r="U141" s="502"/>
      <c r="V141" s="502"/>
      <c r="W141" s="502"/>
      <c r="X141" s="502"/>
      <c r="Y141" s="502"/>
      <c r="Z141" s="502"/>
      <c r="AA141" s="502"/>
      <c r="AB141" s="502"/>
      <c r="AC141" s="502"/>
      <c r="AD141" s="502"/>
      <c r="AE141" s="796"/>
      <c r="AF141" s="502"/>
      <c r="AG141" s="502"/>
      <c r="AH141" s="502"/>
      <c r="AI141" s="502"/>
      <c r="AJ141" s="502"/>
      <c r="AK141" s="502"/>
      <c r="AL141" s="502"/>
      <c r="AM141" s="502"/>
      <c r="AN141" s="502"/>
      <c r="AO141" s="502"/>
      <c r="AP141" s="502"/>
      <c r="AQ141" s="502"/>
      <c r="AR141" s="502"/>
      <c r="AS141" s="502"/>
      <c r="AT141" s="502"/>
    </row>
    <row r="142" spans="1:46" ht="22.5" hidden="1" customHeight="1">
      <c r="K142" s="539" t="str">
        <f t="shared" ref="K142:AT142" si="376">K6</f>
        <v>SEDE_SUP</v>
      </c>
      <c r="L142" s="539" t="str">
        <f t="shared" si="376"/>
        <v>SEDE_ENC</v>
      </c>
      <c r="M142" s="539" t="str">
        <f t="shared" si="376"/>
        <v>SEDE_OFMAN44</v>
      </c>
      <c r="N142" s="540" t="str">
        <f t="shared" si="376"/>
        <v>SEDE_ASSADM40</v>
      </c>
      <c r="O142" s="540" t="str">
        <f t="shared" si="376"/>
        <v>SEDE_AUXMAN44</v>
      </c>
      <c r="P142" s="539" t="str">
        <f t="shared" si="376"/>
        <v>SEDE_CFTV44</v>
      </c>
      <c r="Q142" s="539" t="str">
        <f t="shared" si="376"/>
        <v>SEDE_TECREF44</v>
      </c>
      <c r="R142" s="735" t="str">
        <f t="shared" si="376"/>
        <v>SEDE_OFMAN12X36D</v>
      </c>
      <c r="S142" s="735" t="str">
        <f t="shared" si="376"/>
        <v>SEDE_OFMAN12X36N</v>
      </c>
      <c r="T142" s="735" t="str">
        <f t="shared" si="376"/>
        <v>SEDE_TECELETRO12X36D</v>
      </c>
      <c r="U142" s="735" t="str">
        <f t="shared" si="376"/>
        <v>SEDE_TECELETRO12X36N</v>
      </c>
      <c r="V142" s="540" t="str">
        <f t="shared" si="376"/>
        <v>SEDE_BOMHID44</v>
      </c>
      <c r="W142" s="540" t="str">
        <f t="shared" si="376"/>
        <v>SEDE_MARC44</v>
      </c>
      <c r="X142" s="540" t="str">
        <f t="shared" si="376"/>
        <v>SEDE_SERRA44</v>
      </c>
      <c r="Y142" s="540" t="str">
        <f t="shared" si="376"/>
        <v>SEDE_JARD40</v>
      </c>
      <c r="Z142" s="540" t="str">
        <f t="shared" si="376"/>
        <v>SEDE_BOMCIV12X36D</v>
      </c>
      <c r="AA142" s="540" t="str">
        <f t="shared" si="376"/>
        <v>JGRB_OFMAN44</v>
      </c>
      <c r="AB142" s="540" t="str">
        <f t="shared" si="376"/>
        <v>CAB_OFMAN44</v>
      </c>
      <c r="AC142" s="540" t="str">
        <f t="shared" ref="AC142" si="377">AC6</f>
        <v>CAB_JARD40</v>
      </c>
      <c r="AD142" s="540" t="str">
        <f t="shared" si="376"/>
        <v>AQA_OFMAN44</v>
      </c>
      <c r="AE142" s="797" t="str">
        <f t="shared" si="376"/>
        <v>ARU_OFMAN44</v>
      </c>
      <c r="AF142" s="539" t="str">
        <f t="shared" si="376"/>
        <v>BRU_OFMAN44</v>
      </c>
      <c r="AG142" s="540" t="str">
        <f t="shared" si="376"/>
        <v>CAS_TECELETROT44</v>
      </c>
      <c r="AH142" s="540" t="str">
        <f t="shared" si="376"/>
        <v>CAS_OFMAN44</v>
      </c>
      <c r="AI142" s="539" t="str">
        <f t="shared" si="376"/>
        <v>CZO_OFMAN44</v>
      </c>
      <c r="AJ142" s="540" t="str">
        <f t="shared" si="376"/>
        <v>JLS_OFMAN44</v>
      </c>
      <c r="AK142" s="539" t="str">
        <f t="shared" si="376"/>
        <v>MII_OFMAN44</v>
      </c>
      <c r="AL142" s="540" t="str">
        <f t="shared" si="376"/>
        <v>PCA_OFMAN44</v>
      </c>
      <c r="AM142" s="539" t="str">
        <f t="shared" si="376"/>
        <v>PDE_OFMAN44</v>
      </c>
      <c r="AN142" s="540" t="str">
        <f t="shared" si="376"/>
        <v>RPO_OFMAN44</v>
      </c>
      <c r="AO142" s="540" t="str">
        <f t="shared" si="376"/>
        <v>SJE_OFMAN44</v>
      </c>
      <c r="AP142" s="539" t="str">
        <f t="shared" si="376"/>
        <v>SJK_OFMAN44</v>
      </c>
      <c r="AQ142" s="540" t="str">
        <f t="shared" si="376"/>
        <v>SOD_OFMAN44</v>
      </c>
      <c r="AR142" s="539" t="str">
        <f t="shared" si="376"/>
        <v>SSB_OFMAN44</v>
      </c>
      <c r="AS142" s="539" t="str">
        <f t="shared" si="376"/>
        <v>STS_TECELETROT44</v>
      </c>
      <c r="AT142" s="540" t="str">
        <f t="shared" si="376"/>
        <v>STS_OFMAN44</v>
      </c>
    </row>
    <row r="143" spans="1:46" ht="12" hidden="1" customHeight="1">
      <c r="K143" s="551" t="e">
        <f>#REF!</f>
        <v>#REF!</v>
      </c>
      <c r="L143" s="551" t="e">
        <f>#REF!</f>
        <v>#REF!</v>
      </c>
      <c r="M143" s="551" t="e">
        <f>#REF!</f>
        <v>#REF!</v>
      </c>
      <c r="N143" s="396" t="e">
        <f>#REF!</f>
        <v>#REF!</v>
      </c>
      <c r="O143" s="396" t="e">
        <f>#REF!</f>
        <v>#REF!</v>
      </c>
      <c r="P143" s="551" t="e">
        <f>#REF!</f>
        <v>#REF!</v>
      </c>
      <c r="Q143" s="551" t="e">
        <f>#REF!</f>
        <v>#REF!</v>
      </c>
      <c r="R143" s="736" t="e">
        <f>#REF!</f>
        <v>#REF!</v>
      </c>
      <c r="S143" s="736" t="e">
        <f>#REF!</f>
        <v>#REF!</v>
      </c>
      <c r="T143" s="736" t="e">
        <f>#REF!</f>
        <v>#REF!</v>
      </c>
      <c r="U143" s="736" t="e">
        <f>#REF!</f>
        <v>#REF!</v>
      </c>
      <c r="V143" s="541" t="e">
        <f>#REF!</f>
        <v>#REF!</v>
      </c>
      <c r="W143" s="541" t="e">
        <f>#REF!</f>
        <v>#REF!</v>
      </c>
      <c r="X143" s="541" t="e">
        <f>#REF!</f>
        <v>#REF!</v>
      </c>
      <c r="Y143" s="541" t="e">
        <f>#REF!</f>
        <v>#REF!</v>
      </c>
      <c r="Z143" s="541" t="e">
        <f>#REF!</f>
        <v>#REF!</v>
      </c>
      <c r="AA143" s="541" t="e">
        <f>#REF!</f>
        <v>#REF!</v>
      </c>
      <c r="AB143" s="541" t="e">
        <f>#REF!</f>
        <v>#REF!</v>
      </c>
      <c r="AC143" s="541" t="e">
        <f>#REF!</f>
        <v>#REF!</v>
      </c>
      <c r="AD143" s="541" t="e">
        <f>#REF!</f>
        <v>#REF!</v>
      </c>
      <c r="AE143" s="798" t="e">
        <f>#REF!</f>
        <v>#REF!</v>
      </c>
      <c r="AF143" s="543" t="e">
        <f>#REF!</f>
        <v>#REF!</v>
      </c>
      <c r="AG143" s="541" t="e">
        <f>#REF!</f>
        <v>#REF!</v>
      </c>
      <c r="AH143" s="541" t="e">
        <f>#REF!</f>
        <v>#REF!</v>
      </c>
      <c r="AI143" s="543" t="e">
        <f>#REF!</f>
        <v>#REF!</v>
      </c>
      <c r="AJ143" s="541" t="e">
        <f>#REF!</f>
        <v>#REF!</v>
      </c>
      <c r="AK143" s="543" t="e">
        <f>#REF!</f>
        <v>#REF!</v>
      </c>
      <c r="AL143" s="541" t="e">
        <f>#REF!</f>
        <v>#REF!</v>
      </c>
      <c r="AM143" s="543" t="e">
        <f>#REF!</f>
        <v>#REF!</v>
      </c>
      <c r="AN143" s="541" t="e">
        <f>#REF!</f>
        <v>#REF!</v>
      </c>
      <c r="AO143" s="541" t="e">
        <f>#REF!</f>
        <v>#REF!</v>
      </c>
      <c r="AP143" s="543" t="e">
        <f>#REF!</f>
        <v>#REF!</v>
      </c>
      <c r="AQ143" s="541" t="e">
        <f>#REF!</f>
        <v>#REF!</v>
      </c>
      <c r="AR143" s="543" t="e">
        <f>#REF!</f>
        <v>#REF!</v>
      </c>
      <c r="AS143" s="543" t="e">
        <f>#REF!</f>
        <v>#REF!</v>
      </c>
      <c r="AT143" s="541" t="e">
        <f>#REF!</f>
        <v>#REF!</v>
      </c>
    </row>
    <row r="144" spans="1:46" ht="12" hidden="1" customHeight="1">
      <c r="I144" s="542" t="s">
        <v>898</v>
      </c>
      <c r="J144" s="546" t="e">
        <f>SUM(K144:AR144)</f>
        <v>#REF!</v>
      </c>
      <c r="K144" s="551" t="e">
        <f>K143</f>
        <v>#REF!</v>
      </c>
      <c r="L144" s="551" t="e">
        <f t="shared" ref="L144:M144" si="378">L143</f>
        <v>#REF!</v>
      </c>
      <c r="M144" s="551" t="e">
        <f t="shared" si="378"/>
        <v>#REF!</v>
      </c>
      <c r="N144" s="893" t="e">
        <f>SUM(N143:O143)</f>
        <v>#REF!</v>
      </c>
      <c r="O144" s="893"/>
      <c r="P144" s="892" t="e">
        <f>SUM(P143:Q143)</f>
        <v>#REF!</v>
      </c>
      <c r="Q144" s="892"/>
      <c r="R144" s="893"/>
      <c r="S144" s="893"/>
      <c r="T144" s="893"/>
      <c r="U144" s="893"/>
      <c r="V144" s="574"/>
      <c r="W144" s="574"/>
      <c r="X144" s="574"/>
      <c r="Y144" s="574"/>
      <c r="Z144" s="574"/>
      <c r="AA144" s="574"/>
      <c r="AB144" s="574"/>
      <c r="AC144" s="574"/>
      <c r="AD144" s="574"/>
      <c r="AE144" s="798" t="e">
        <f>SUM(AE143:AE143)</f>
        <v>#REF!</v>
      </c>
      <c r="AF144" s="551" t="e">
        <f>SUM(AF143:AF143)</f>
        <v>#REF!</v>
      </c>
      <c r="AG144" s="893" t="e">
        <f t="shared" ref="AG144" si="379">SUM(AG143:AH143)</f>
        <v>#REF!</v>
      </c>
      <c r="AH144" s="893"/>
      <c r="AI144" s="551" t="e">
        <f>SUM(AI143:AI143)</f>
        <v>#REF!</v>
      </c>
      <c r="AJ144" s="574" t="e">
        <f>SUM(AJ143:AJ143)</f>
        <v>#REF!</v>
      </c>
      <c r="AK144" s="551" t="e">
        <f>SUM(AK143:AK143)</f>
        <v>#REF!</v>
      </c>
      <c r="AL144" s="574" t="e">
        <f>SUM(AL143:AL143)</f>
        <v>#REF!</v>
      </c>
      <c r="AM144" s="816" t="e">
        <f>SUM(AM143:AM143)</f>
        <v>#REF!</v>
      </c>
      <c r="AN144" s="574" t="e">
        <f>SUM(AN143:AN143)</f>
        <v>#REF!</v>
      </c>
      <c r="AO144" s="574"/>
      <c r="AP144" s="551" t="e">
        <f>SUM(AP143:AP143)</f>
        <v>#REF!</v>
      </c>
      <c r="AQ144" s="551"/>
      <c r="AR144" s="551" t="e">
        <f>SUM(AR143:AR143)</f>
        <v>#REF!</v>
      </c>
      <c r="AS144" s="551"/>
      <c r="AT144" s="574" t="e">
        <f>SUM(AT143:AT143)</f>
        <v>#REF!</v>
      </c>
    </row>
    <row r="145" spans="10:46" ht="12" hidden="1" customHeight="1">
      <c r="J145" s="563"/>
      <c r="K145" s="562" t="e">
        <f>K129*K144</f>
        <v>#REF!</v>
      </c>
      <c r="L145" s="562" t="e">
        <f t="shared" ref="L145:M145" si="380">L129*L144</f>
        <v>#REF!</v>
      </c>
      <c r="M145" s="562" t="e">
        <f t="shared" si="380"/>
        <v>#REF!</v>
      </c>
      <c r="N145" s="897" t="e">
        <f>(((N129*N143)+(O129*O143))/N144)*N144</f>
        <v>#REF!</v>
      </c>
      <c r="O145" s="897"/>
      <c r="P145" s="898" t="e">
        <f t="shared" ref="P145" si="381">(((P129*P143)+(Q129*Q143))/P144)*P144</f>
        <v>#REF!</v>
      </c>
      <c r="Q145" s="898"/>
      <c r="R145" s="897"/>
      <c r="S145" s="897"/>
      <c r="T145" s="897"/>
      <c r="U145" s="897"/>
      <c r="V145" s="561"/>
      <c r="W145" s="561"/>
      <c r="X145" s="561"/>
      <c r="Y145" s="561"/>
      <c r="Z145" s="561"/>
      <c r="AA145" s="561"/>
      <c r="AB145" s="561"/>
      <c r="AC145" s="561"/>
      <c r="AD145" s="561"/>
      <c r="AE145" s="407" t="e">
        <f>(((AE129*AE143)+(#REF!*#REF!))/AE144)*AE144</f>
        <v>#REF!</v>
      </c>
      <c r="AF145" s="562" t="e">
        <f>(((AF129*AF143)+(#REF!*#REF!))/AF144)*AF144</f>
        <v>#REF!</v>
      </c>
      <c r="AG145" s="897" t="e">
        <f t="shared" ref="AG145" si="382">(((AG129*AG143)+(AH129*AH143))/AG144)*AG144</f>
        <v>#REF!</v>
      </c>
      <c r="AH145" s="897"/>
      <c r="AI145" s="562" t="e">
        <f>(((AI129*AI143)+(#REF!*#REF!))/AI144)*AI144</f>
        <v>#REF!</v>
      </c>
      <c r="AJ145" s="561" t="e">
        <f>(((AJ129*AJ143)+(#REF!*#REF!))/AJ144)*AJ144</f>
        <v>#REF!</v>
      </c>
      <c r="AK145" s="562" t="e">
        <f>(((AK129*AK143)+(#REF!*#REF!))/AK144)*AK144</f>
        <v>#REF!</v>
      </c>
      <c r="AL145" s="561" t="e">
        <f>(((AL129*AL143)+(#REF!*#REF!))/AL144)*AL144</f>
        <v>#REF!</v>
      </c>
      <c r="AM145" s="818" t="e">
        <f>(((AM129*AM143)+(#REF!*#REF!))/AM144)*AM144</f>
        <v>#REF!</v>
      </c>
      <c r="AN145" s="561" t="e">
        <f>(((AN129*AN143)+(#REF!*#REF!))/AN144)*AN144</f>
        <v>#REF!</v>
      </c>
      <c r="AO145" s="561"/>
      <c r="AP145" s="562" t="e">
        <f>(((AP129*AP143)+(#REF!*#REF!))/AP144)*AP144</f>
        <v>#REF!</v>
      </c>
      <c r="AQ145" s="562"/>
      <c r="AR145" s="562" t="e">
        <f>(((AR129*AR143)+(#REF!*#REF!))/AR144)*AR144</f>
        <v>#REF!</v>
      </c>
      <c r="AS145" s="562"/>
      <c r="AT145" s="561" t="e">
        <f>(((AT129*AT143)+(#REF!*#REF!))/AT144)*AT144</f>
        <v>#REF!</v>
      </c>
    </row>
    <row r="146" spans="10:46" ht="12.75" hidden="1" customHeight="1">
      <c r="J146" s="542" t="s">
        <v>899</v>
      </c>
      <c r="K146" s="881" t="e">
        <f>K145+L145+M145</f>
        <v>#REF!</v>
      </c>
      <c r="L146" s="882"/>
      <c r="M146" s="882"/>
      <c r="N146" s="883" t="e">
        <f>N145</f>
        <v>#REF!</v>
      </c>
      <c r="O146" s="883"/>
      <c r="P146" s="882" t="e">
        <f t="shared" ref="P146" si="383">P145</f>
        <v>#REF!</v>
      </c>
      <c r="Q146" s="882"/>
      <c r="R146" s="883"/>
      <c r="S146" s="883"/>
      <c r="T146" s="883"/>
      <c r="U146" s="883"/>
      <c r="V146" s="566"/>
      <c r="W146" s="566"/>
      <c r="X146" s="566"/>
      <c r="Y146" s="566"/>
      <c r="Z146" s="566"/>
      <c r="AA146" s="566"/>
      <c r="AB146" s="566"/>
      <c r="AC146" s="566"/>
      <c r="AD146" s="566"/>
      <c r="AE146" s="799" t="e">
        <f t="shared" ref="AE146" si="384">AE145</f>
        <v>#REF!</v>
      </c>
      <c r="AF146" s="565" t="e">
        <f t="shared" ref="AF146" si="385">AF145</f>
        <v>#REF!</v>
      </c>
      <c r="AG146" s="883" t="e">
        <f t="shared" ref="AG146" si="386">AG145</f>
        <v>#REF!</v>
      </c>
      <c r="AH146" s="883"/>
      <c r="AI146" s="565" t="e">
        <f t="shared" ref="AI146" si="387">AI145</f>
        <v>#REF!</v>
      </c>
      <c r="AJ146" s="566" t="e">
        <f t="shared" ref="AJ146" si="388">AJ145</f>
        <v>#REF!</v>
      </c>
      <c r="AK146" s="565" t="e">
        <f t="shared" ref="AK146" si="389">AK145</f>
        <v>#REF!</v>
      </c>
      <c r="AL146" s="566" t="e">
        <f t="shared" ref="AL146" si="390">AL145</f>
        <v>#REF!</v>
      </c>
      <c r="AM146" s="822" t="e">
        <f t="shared" ref="AM146" si="391">AM145</f>
        <v>#REF!</v>
      </c>
      <c r="AN146" s="566" t="e">
        <f t="shared" ref="AN146" si="392">AN145</f>
        <v>#REF!</v>
      </c>
      <c r="AO146" s="566"/>
      <c r="AP146" s="565" t="e">
        <f t="shared" ref="AP146" si="393">AP145</f>
        <v>#REF!</v>
      </c>
      <c r="AQ146" s="565"/>
      <c r="AR146" s="565" t="e">
        <f t="shared" ref="AR146" si="394">AR145</f>
        <v>#REF!</v>
      </c>
      <c r="AS146" s="565"/>
      <c r="AT146" s="566" t="e">
        <f t="shared" ref="AT146" si="395">AT145</f>
        <v>#REF!</v>
      </c>
    </row>
    <row r="147" spans="10:46" ht="12" hidden="1" customHeight="1">
      <c r="J147" s="542" t="s">
        <v>900</v>
      </c>
      <c r="K147" s="547" t="e">
        <f>SUM(K146:AR146)</f>
        <v>#REF!</v>
      </c>
      <c r="L147" s="545"/>
      <c r="M147" s="545"/>
      <c r="P147" s="544"/>
      <c r="Q147" s="544"/>
      <c r="AE147" s="800"/>
      <c r="AF147" s="544"/>
      <c r="AI147" s="544"/>
      <c r="AK147" s="544"/>
      <c r="AM147" s="544"/>
      <c r="AP147" s="544"/>
      <c r="AR147" s="544"/>
      <c r="AS147" s="544"/>
    </row>
    <row r="148" spans="10:46" ht="12" hidden="1" customHeight="1">
      <c r="K148" s="564"/>
      <c r="L148" s="545"/>
      <c r="M148" s="545"/>
      <c r="P148" s="544"/>
      <c r="Q148" s="544"/>
      <c r="AE148" s="800"/>
      <c r="AF148" s="544"/>
      <c r="AI148" s="544"/>
      <c r="AK148" s="544"/>
      <c r="AM148" s="544"/>
      <c r="AP148" s="544"/>
      <c r="AR148" s="544"/>
      <c r="AS148" s="544"/>
    </row>
    <row r="149" spans="10:46" ht="12" hidden="1" customHeight="1">
      <c r="J149" s="542" t="s">
        <v>901</v>
      </c>
      <c r="K149" s="877">
        <v>0</v>
      </c>
      <c r="L149" s="878"/>
      <c r="M149" s="878"/>
      <c r="N149" s="879">
        <v>0</v>
      </c>
      <c r="O149" s="879"/>
      <c r="P149" s="878">
        <v>0</v>
      </c>
      <c r="Q149" s="878"/>
      <c r="R149" s="879"/>
      <c r="S149" s="879"/>
      <c r="T149" s="879"/>
      <c r="U149" s="879"/>
      <c r="V149" s="570"/>
      <c r="W149" s="570"/>
      <c r="X149" s="570"/>
      <c r="Y149" s="570"/>
      <c r="Z149" s="570"/>
      <c r="AA149" s="570"/>
      <c r="AB149" s="570"/>
      <c r="AC149" s="570"/>
      <c r="AD149" s="570"/>
      <c r="AE149" s="801">
        <v>0</v>
      </c>
      <c r="AF149" s="569">
        <v>0</v>
      </c>
      <c r="AG149" s="879">
        <v>0</v>
      </c>
      <c r="AH149" s="879"/>
      <c r="AI149" s="569">
        <v>0</v>
      </c>
      <c r="AJ149" s="570">
        <v>0</v>
      </c>
      <c r="AK149" s="569">
        <v>0</v>
      </c>
      <c r="AL149" s="570">
        <v>0</v>
      </c>
      <c r="AM149" s="820">
        <v>0</v>
      </c>
      <c r="AN149" s="570">
        <v>0</v>
      </c>
      <c r="AO149" s="570"/>
      <c r="AP149" s="569">
        <v>0</v>
      </c>
      <c r="AQ149" s="569"/>
      <c r="AR149" s="569">
        <v>0</v>
      </c>
      <c r="AS149" s="569"/>
      <c r="AT149" s="570">
        <v>0</v>
      </c>
    </row>
    <row r="150" spans="10:46" ht="12" hidden="1" customHeight="1">
      <c r="J150" s="542" t="s">
        <v>902</v>
      </c>
      <c r="K150" s="885" t="e">
        <f>K146-K149</f>
        <v>#REF!</v>
      </c>
      <c r="L150" s="884"/>
      <c r="M150" s="884"/>
      <c r="N150" s="886" t="e">
        <f>N146-N149</f>
        <v>#REF!</v>
      </c>
      <c r="O150" s="886"/>
      <c r="P150" s="884" t="e">
        <f t="shared" ref="P150" si="396">P146-P149</f>
        <v>#REF!</v>
      </c>
      <c r="Q150" s="884"/>
      <c r="R150" s="886"/>
      <c r="S150" s="886"/>
      <c r="T150" s="886"/>
      <c r="U150" s="886"/>
      <c r="V150" s="567"/>
      <c r="W150" s="567"/>
      <c r="X150" s="567"/>
      <c r="Y150" s="567"/>
      <c r="Z150" s="567"/>
      <c r="AA150" s="567"/>
      <c r="AB150" s="567"/>
      <c r="AC150" s="567"/>
      <c r="AD150" s="567"/>
      <c r="AE150" s="802" t="e">
        <f t="shared" ref="AE150" si="397">AE146-AE149</f>
        <v>#REF!</v>
      </c>
      <c r="AF150" s="548" t="e">
        <f t="shared" ref="AF150" si="398">AF146-AF149</f>
        <v>#REF!</v>
      </c>
      <c r="AG150" s="886" t="e">
        <f t="shared" ref="AG150" si="399">AG146-AG149</f>
        <v>#REF!</v>
      </c>
      <c r="AH150" s="886"/>
      <c r="AI150" s="548" t="e">
        <f t="shared" ref="AI150" si="400">AI146-AI149</f>
        <v>#REF!</v>
      </c>
      <c r="AJ150" s="567" t="e">
        <f t="shared" ref="AJ150" si="401">AJ146-AJ149</f>
        <v>#REF!</v>
      </c>
      <c r="AK150" s="548" t="e">
        <f t="shared" ref="AK150" si="402">AK146-AK149</f>
        <v>#REF!</v>
      </c>
      <c r="AL150" s="567" t="e">
        <f t="shared" ref="AL150" si="403">AL146-AL149</f>
        <v>#REF!</v>
      </c>
      <c r="AM150" s="817" t="e">
        <f t="shared" ref="AM150" si="404">AM146-AM149</f>
        <v>#REF!</v>
      </c>
      <c r="AN150" s="567" t="e">
        <f t="shared" ref="AN150" si="405">AN146-AN149</f>
        <v>#REF!</v>
      </c>
      <c r="AO150" s="567"/>
      <c r="AP150" s="548" t="e">
        <f t="shared" ref="AP150" si="406">AP146-AP149</f>
        <v>#REF!</v>
      </c>
      <c r="AQ150" s="548"/>
      <c r="AR150" s="548" t="e">
        <f t="shared" ref="AR150" si="407">AR146-AR149</f>
        <v>#REF!</v>
      </c>
      <c r="AS150" s="548"/>
      <c r="AT150" s="567" t="e">
        <f t="shared" ref="AT150" si="408">AT146-AT149</f>
        <v>#REF!</v>
      </c>
    </row>
    <row r="151" spans="10:46" ht="12" hidden="1" customHeight="1">
      <c r="J151" s="542" t="s">
        <v>903</v>
      </c>
      <c r="K151" s="877" t="e">
        <f>K150*$K148</f>
        <v>#REF!</v>
      </c>
      <c r="L151" s="878"/>
      <c r="M151" s="878"/>
      <c r="N151" s="879" t="e">
        <f t="shared" ref="N151" si="409">N150*$K148</f>
        <v>#REF!</v>
      </c>
      <c r="O151" s="879"/>
      <c r="P151" s="878" t="e">
        <f t="shared" ref="P151" si="410">P150*$K148</f>
        <v>#REF!</v>
      </c>
      <c r="Q151" s="878"/>
      <c r="R151" s="879"/>
      <c r="S151" s="879"/>
      <c r="T151" s="879"/>
      <c r="U151" s="879"/>
      <c r="V151" s="570"/>
      <c r="W151" s="570"/>
      <c r="X151" s="570"/>
      <c r="Y151" s="570"/>
      <c r="Z151" s="570"/>
      <c r="AA151" s="570"/>
      <c r="AB151" s="570"/>
      <c r="AC151" s="570"/>
      <c r="AD151" s="570"/>
      <c r="AE151" s="801" t="e">
        <f t="shared" ref="AE151" si="411">AE150*$K148</f>
        <v>#REF!</v>
      </c>
      <c r="AF151" s="569" t="e">
        <f t="shared" ref="AF151" si="412">AF150*$K148</f>
        <v>#REF!</v>
      </c>
      <c r="AG151" s="879" t="e">
        <f t="shared" ref="AG151" si="413">AG150*$K148</f>
        <v>#REF!</v>
      </c>
      <c r="AH151" s="879"/>
      <c r="AI151" s="569" t="e">
        <f t="shared" ref="AI151" si="414">AI150*$K148</f>
        <v>#REF!</v>
      </c>
      <c r="AJ151" s="570" t="e">
        <f t="shared" ref="AJ151" si="415">AJ150*$K148</f>
        <v>#REF!</v>
      </c>
      <c r="AK151" s="569" t="e">
        <f t="shared" ref="AK151" si="416">AK150*$K148</f>
        <v>#REF!</v>
      </c>
      <c r="AL151" s="570" t="e">
        <f t="shared" ref="AL151" si="417">AL150*$K148</f>
        <v>#REF!</v>
      </c>
      <c r="AM151" s="820" t="e">
        <f t="shared" ref="AM151" si="418">AM150*$K148</f>
        <v>#REF!</v>
      </c>
      <c r="AN151" s="570" t="e">
        <f t="shared" ref="AN151" si="419">AN150*$K148</f>
        <v>#REF!</v>
      </c>
      <c r="AO151" s="570"/>
      <c r="AP151" s="569" t="e">
        <f t="shared" ref="AP151" si="420">AP150*$K148</f>
        <v>#REF!</v>
      </c>
      <c r="AQ151" s="569"/>
      <c r="AR151" s="569" t="e">
        <f t="shared" ref="AR151" si="421">AR150*$K148</f>
        <v>#REF!</v>
      </c>
      <c r="AS151" s="569"/>
      <c r="AT151" s="570" t="e">
        <f>AT150*$K148</f>
        <v>#REF!</v>
      </c>
    </row>
    <row r="152" spans="10:46" ht="12" hidden="1" customHeight="1">
      <c r="J152" s="542" t="s">
        <v>904</v>
      </c>
      <c r="K152" s="885" t="e">
        <f>K150-K151</f>
        <v>#REF!</v>
      </c>
      <c r="L152" s="884"/>
      <c r="M152" s="884"/>
      <c r="N152" s="886" t="e">
        <f>N150-N151</f>
        <v>#REF!</v>
      </c>
      <c r="O152" s="886"/>
      <c r="P152" s="884" t="e">
        <f t="shared" ref="P152" si="422">P150-P151</f>
        <v>#REF!</v>
      </c>
      <c r="Q152" s="884"/>
      <c r="R152" s="886"/>
      <c r="S152" s="886"/>
      <c r="T152" s="886"/>
      <c r="U152" s="886"/>
      <c r="V152" s="567"/>
      <c r="W152" s="567"/>
      <c r="X152" s="567"/>
      <c r="Y152" s="567"/>
      <c r="Z152" s="567"/>
      <c r="AA152" s="567"/>
      <c r="AB152" s="567"/>
      <c r="AC152" s="567"/>
      <c r="AD152" s="567"/>
      <c r="AE152" s="802" t="e">
        <f t="shared" ref="AE152" si="423">AE150-AE151</f>
        <v>#REF!</v>
      </c>
      <c r="AF152" s="548" t="e">
        <f t="shared" ref="AF152" si="424">AF150-AF151</f>
        <v>#REF!</v>
      </c>
      <c r="AG152" s="886" t="e">
        <f t="shared" ref="AG152" si="425">AG150-AG151</f>
        <v>#REF!</v>
      </c>
      <c r="AH152" s="886"/>
      <c r="AI152" s="548" t="e">
        <f t="shared" ref="AI152" si="426">AI150-AI151</f>
        <v>#REF!</v>
      </c>
      <c r="AJ152" s="567" t="e">
        <f t="shared" ref="AJ152" si="427">AJ150-AJ151</f>
        <v>#REF!</v>
      </c>
      <c r="AK152" s="548" t="e">
        <f t="shared" ref="AK152" si="428">AK150-AK151</f>
        <v>#REF!</v>
      </c>
      <c r="AL152" s="567" t="e">
        <f t="shared" ref="AL152" si="429">AL150-AL151</f>
        <v>#REF!</v>
      </c>
      <c r="AM152" s="817" t="e">
        <f t="shared" ref="AM152" si="430">AM150-AM151</f>
        <v>#REF!</v>
      </c>
      <c r="AN152" s="567" t="e">
        <f t="shared" ref="AN152" si="431">AN150-AN151</f>
        <v>#REF!</v>
      </c>
      <c r="AO152" s="567"/>
      <c r="AP152" s="548" t="e">
        <f t="shared" ref="AP152" si="432">AP150-AP151</f>
        <v>#REF!</v>
      </c>
      <c r="AQ152" s="548"/>
      <c r="AR152" s="548" t="e">
        <f t="shared" ref="AR152" si="433">AR150-AR151</f>
        <v>#REF!</v>
      </c>
      <c r="AS152" s="548"/>
      <c r="AT152" s="567" t="e">
        <f t="shared" ref="AT152" si="434">AT150-AT151</f>
        <v>#REF!</v>
      </c>
    </row>
    <row r="153" spans="10:46" ht="12" hidden="1" customHeight="1">
      <c r="J153" s="542"/>
      <c r="K153" s="545"/>
      <c r="L153" s="545"/>
      <c r="M153" s="545"/>
      <c r="P153" s="544"/>
      <c r="Q153" s="544"/>
      <c r="AE153" s="800"/>
      <c r="AF153" s="544"/>
      <c r="AI153" s="544"/>
      <c r="AK153" s="544"/>
      <c r="AM153" s="544"/>
      <c r="AP153" s="544"/>
      <c r="AR153" s="544"/>
      <c r="AS153" s="544"/>
    </row>
    <row r="154" spans="10:46" ht="12" hidden="1" customHeight="1">
      <c r="K154" s="549" t="e">
        <f>K134*K144</f>
        <v>#REF!</v>
      </c>
      <c r="L154" s="548" t="e">
        <f t="shared" ref="L154:M154" si="435">L134*L144</f>
        <v>#REF!</v>
      </c>
      <c r="M154" s="548" t="e">
        <f t="shared" si="435"/>
        <v>#REF!</v>
      </c>
      <c r="N154" s="886" t="e">
        <f>(((N134*N143)+(O134*O143))/N144)*N144</f>
        <v>#REF!</v>
      </c>
      <c r="O154" s="886"/>
      <c r="P154" s="884" t="e">
        <f t="shared" ref="P154" si="436">(((P134*P143)+(Q134*Q143))/P144)*P144</f>
        <v>#REF!</v>
      </c>
      <c r="Q154" s="884"/>
      <c r="R154" s="886"/>
      <c r="S154" s="886"/>
      <c r="T154" s="886"/>
      <c r="U154" s="886"/>
      <c r="V154" s="567"/>
      <c r="W154" s="567"/>
      <c r="X154" s="567"/>
      <c r="Y154" s="567"/>
      <c r="Z154" s="567"/>
      <c r="AA154" s="567"/>
      <c r="AB154" s="567"/>
      <c r="AC154" s="567"/>
      <c r="AD154" s="567"/>
      <c r="AE154" s="802" t="e">
        <f>(((AE134*AE143)+(#REF!*#REF!))/AE144)*AE144</f>
        <v>#REF!</v>
      </c>
      <c r="AF154" s="548" t="e">
        <f>(((AF134*AF143)+(#REF!*#REF!))/AF144)*AF144</f>
        <v>#REF!</v>
      </c>
      <c r="AG154" s="886" t="e">
        <f t="shared" ref="AG154" si="437">(((AG134*AG143)+(AH134*AH143))/AG144)*AG144</f>
        <v>#REF!</v>
      </c>
      <c r="AH154" s="886"/>
      <c r="AI154" s="548" t="e">
        <f>(((AI134*AI143)+(#REF!*#REF!))/AI144)*AI144</f>
        <v>#REF!</v>
      </c>
      <c r="AJ154" s="567" t="e">
        <f>(((AJ134*AJ143)+(#REF!*#REF!))/AJ144)*AJ144</f>
        <v>#REF!</v>
      </c>
      <c r="AK154" s="548" t="e">
        <f>(((AK134*AK143)+(#REF!*#REF!))/AK144)*AK144</f>
        <v>#REF!</v>
      </c>
      <c r="AL154" s="567" t="e">
        <f>(((AL134*AL143)+(#REF!*#REF!))/AL144)*AL144</f>
        <v>#REF!</v>
      </c>
      <c r="AM154" s="817" t="e">
        <f>(((AM134*AM143)+(#REF!*#REF!))/AM144)*AM144</f>
        <v>#REF!</v>
      </c>
      <c r="AN154" s="567" t="e">
        <f>(((AN134*AN143)+(#REF!*#REF!))/AN144)*AN144</f>
        <v>#REF!</v>
      </c>
      <c r="AO154" s="567"/>
      <c r="AP154" s="548" t="e">
        <f>(((AP134*AP143)+(#REF!*#REF!))/AP144)*AP144</f>
        <v>#REF!</v>
      </c>
      <c r="AQ154" s="548"/>
      <c r="AR154" s="548" t="e">
        <f>(((AR134*AR143)+(#REF!*#REF!))/AR144)*AR144</f>
        <v>#REF!</v>
      </c>
      <c r="AS154" s="548"/>
      <c r="AT154" s="567" t="e">
        <f>(((AT134*AT143)+(#REF!*#REF!))/AT144)*AT144</f>
        <v>#REF!</v>
      </c>
    </row>
    <row r="155" spans="10:46" ht="12" hidden="1" customHeight="1">
      <c r="J155" s="542" t="s">
        <v>905</v>
      </c>
      <c r="K155" s="894" t="e">
        <f>K154+L154+M154</f>
        <v>#REF!</v>
      </c>
      <c r="L155" s="895"/>
      <c r="M155" s="895"/>
      <c r="N155" s="896" t="e">
        <f>N154</f>
        <v>#REF!</v>
      </c>
      <c r="O155" s="896"/>
      <c r="P155" s="895" t="e">
        <f t="shared" ref="P155" si="438">P154</f>
        <v>#REF!</v>
      </c>
      <c r="Q155" s="895"/>
      <c r="R155" s="896"/>
      <c r="S155" s="896"/>
      <c r="T155" s="896"/>
      <c r="U155" s="896"/>
      <c r="V155" s="572"/>
      <c r="W155" s="572"/>
      <c r="X155" s="572"/>
      <c r="Y155" s="572"/>
      <c r="Z155" s="572"/>
      <c r="AA155" s="572"/>
      <c r="AB155" s="572"/>
      <c r="AC155" s="572"/>
      <c r="AD155" s="572"/>
      <c r="AE155" s="803" t="e">
        <f t="shared" ref="AE155" si="439">AE154</f>
        <v>#REF!</v>
      </c>
      <c r="AF155" s="571" t="e">
        <f t="shared" ref="AF155" si="440">AF154</f>
        <v>#REF!</v>
      </c>
      <c r="AG155" s="896" t="e">
        <f t="shared" ref="AG155" si="441">AG154</f>
        <v>#REF!</v>
      </c>
      <c r="AH155" s="896"/>
      <c r="AI155" s="571" t="e">
        <f t="shared" ref="AI155" si="442">AI154</f>
        <v>#REF!</v>
      </c>
      <c r="AJ155" s="572" t="e">
        <f t="shared" ref="AJ155" si="443">AJ154</f>
        <v>#REF!</v>
      </c>
      <c r="AK155" s="571" t="e">
        <f t="shared" ref="AK155" si="444">AK154</f>
        <v>#REF!</v>
      </c>
      <c r="AL155" s="572" t="e">
        <f t="shared" ref="AL155" si="445">AL154</f>
        <v>#REF!</v>
      </c>
      <c r="AM155" s="819" t="e">
        <f t="shared" ref="AM155" si="446">AM154</f>
        <v>#REF!</v>
      </c>
      <c r="AN155" s="572" t="e">
        <f t="shared" ref="AN155" si="447">AN154</f>
        <v>#REF!</v>
      </c>
      <c r="AO155" s="572"/>
      <c r="AP155" s="571" t="e">
        <f t="shared" ref="AP155" si="448">AP154</f>
        <v>#REF!</v>
      </c>
      <c r="AQ155" s="571"/>
      <c r="AR155" s="571" t="e">
        <f t="shared" ref="AR155" si="449">AR154</f>
        <v>#REF!</v>
      </c>
      <c r="AS155" s="571"/>
      <c r="AT155" s="572" t="e">
        <f t="shared" ref="AT155" si="450">AT154</f>
        <v>#REF!</v>
      </c>
    </row>
    <row r="156" spans="10:46" ht="12" hidden="1" customHeight="1">
      <c r="J156" s="542" t="s">
        <v>906</v>
      </c>
      <c r="K156" s="547" t="e">
        <f>SUM(K155:AR155)</f>
        <v>#REF!</v>
      </c>
      <c r="L156" s="545"/>
      <c r="M156" s="545"/>
      <c r="P156" s="544"/>
      <c r="Q156" s="544"/>
      <c r="AE156" s="800"/>
      <c r="AF156" s="544"/>
      <c r="AI156" s="544"/>
      <c r="AK156" s="544"/>
      <c r="AM156" s="544"/>
      <c r="AP156" s="544"/>
      <c r="AR156" s="544"/>
      <c r="AS156" s="544"/>
    </row>
    <row r="157" spans="10:46" ht="12" hidden="1" customHeight="1">
      <c r="J157" s="542"/>
      <c r="K157" s="545"/>
      <c r="L157" s="545"/>
      <c r="M157" s="545"/>
      <c r="P157" s="544"/>
      <c r="Q157" s="544"/>
      <c r="AE157" s="800"/>
      <c r="AF157" s="544"/>
      <c r="AI157" s="544"/>
      <c r="AK157" s="544"/>
      <c r="AM157" s="544"/>
      <c r="AP157" s="544"/>
      <c r="AR157" s="544"/>
      <c r="AS157" s="544"/>
    </row>
    <row r="158" spans="10:46" ht="12" hidden="1" customHeight="1">
      <c r="J158" s="542"/>
      <c r="K158" s="545"/>
      <c r="L158" s="545"/>
      <c r="M158" s="545"/>
      <c r="P158" s="544"/>
      <c r="Q158" s="544"/>
      <c r="AE158" s="800"/>
      <c r="AF158" s="544"/>
      <c r="AI158" s="544"/>
      <c r="AK158" s="544"/>
      <c r="AM158" s="544"/>
      <c r="AP158" s="544"/>
      <c r="AR158" s="544"/>
      <c r="AS158" s="544"/>
    </row>
    <row r="159" spans="10:46" ht="12.75" hidden="1" customHeight="1">
      <c r="J159" s="542" t="s">
        <v>907</v>
      </c>
      <c r="K159" s="881" t="e">
        <f>K152-K155</f>
        <v>#REF!</v>
      </c>
      <c r="L159" s="882"/>
      <c r="M159" s="882"/>
      <c r="N159" s="883" t="e">
        <f>N152-N155</f>
        <v>#REF!</v>
      </c>
      <c r="O159" s="883"/>
      <c r="P159" s="882" t="e">
        <f t="shared" ref="P159" si="451">P152-P155</f>
        <v>#REF!</v>
      </c>
      <c r="Q159" s="882"/>
      <c r="R159" s="883"/>
      <c r="S159" s="883"/>
      <c r="T159" s="883"/>
      <c r="U159" s="883"/>
      <c r="V159" s="566"/>
      <c r="W159" s="566"/>
      <c r="X159" s="566"/>
      <c r="Y159" s="566"/>
      <c r="Z159" s="566"/>
      <c r="AA159" s="566"/>
      <c r="AB159" s="566"/>
      <c r="AC159" s="566"/>
      <c r="AD159" s="566"/>
      <c r="AE159" s="799" t="e">
        <f t="shared" ref="AE159" si="452">AE152-AE155</f>
        <v>#REF!</v>
      </c>
      <c r="AF159" s="565" t="e">
        <f t="shared" ref="AF159" si="453">AF152-AF155</f>
        <v>#REF!</v>
      </c>
      <c r="AG159" s="883" t="e">
        <f t="shared" ref="AG159" si="454">AG152-AG155</f>
        <v>#REF!</v>
      </c>
      <c r="AH159" s="883"/>
      <c r="AI159" s="565" t="e">
        <f t="shared" ref="AI159" si="455">AI152-AI155</f>
        <v>#REF!</v>
      </c>
      <c r="AJ159" s="566" t="e">
        <f t="shared" ref="AJ159" si="456">AJ152-AJ155</f>
        <v>#REF!</v>
      </c>
      <c r="AK159" s="565" t="e">
        <f t="shared" ref="AK159" si="457">AK152-AK155</f>
        <v>#REF!</v>
      </c>
      <c r="AL159" s="566" t="e">
        <f t="shared" ref="AL159" si="458">AL152-AL155</f>
        <v>#REF!</v>
      </c>
      <c r="AM159" s="822" t="e">
        <f t="shared" ref="AM159" si="459">AM152-AM155</f>
        <v>#REF!</v>
      </c>
      <c r="AN159" s="566" t="e">
        <f t="shared" ref="AN159" si="460">AN152-AN155</f>
        <v>#REF!</v>
      </c>
      <c r="AO159" s="566"/>
      <c r="AP159" s="565" t="e">
        <f t="shared" ref="AP159" si="461">AP152-AP155</f>
        <v>#REF!</v>
      </c>
      <c r="AQ159" s="565"/>
      <c r="AR159" s="565" t="e">
        <f t="shared" ref="AR159" si="462">AR152-AR155</f>
        <v>#REF!</v>
      </c>
      <c r="AS159" s="565"/>
      <c r="AT159" s="566" t="e">
        <f t="shared" ref="AT159" si="463">AT152-AT155</f>
        <v>#REF!</v>
      </c>
    </row>
    <row r="160" spans="10:46" ht="12" hidden="1" customHeight="1">
      <c r="K160" s="545"/>
      <c r="L160" s="545"/>
      <c r="M160" s="545"/>
      <c r="P160" s="544"/>
      <c r="Q160" s="544"/>
      <c r="AE160" s="800"/>
      <c r="AF160" s="544"/>
      <c r="AI160" s="544"/>
      <c r="AK160" s="544"/>
      <c r="AM160" s="544"/>
      <c r="AP160" s="544"/>
      <c r="AR160" s="544"/>
      <c r="AS160" s="544"/>
    </row>
    <row r="161" spans="10:46" ht="12" hidden="1" customHeight="1">
      <c r="K161" s="545"/>
      <c r="L161" s="545"/>
      <c r="M161" s="545"/>
      <c r="P161" s="544"/>
      <c r="Q161" s="544"/>
      <c r="AE161" s="800"/>
      <c r="AF161" s="544"/>
      <c r="AI161" s="544"/>
      <c r="AK161" s="544"/>
      <c r="AM161" s="544"/>
      <c r="AP161" s="544"/>
      <c r="AR161" s="544"/>
      <c r="AS161" s="544"/>
    </row>
    <row r="162" spans="10:46" ht="18" hidden="1" customHeight="1">
      <c r="K162" s="539" t="str">
        <f t="shared" ref="K162:AT162" si="464">K6</f>
        <v>SEDE_SUP</v>
      </c>
      <c r="L162" s="539" t="str">
        <f t="shared" si="464"/>
        <v>SEDE_ENC</v>
      </c>
      <c r="M162" s="539" t="str">
        <f t="shared" si="464"/>
        <v>SEDE_OFMAN44</v>
      </c>
      <c r="N162" s="540" t="str">
        <f t="shared" si="464"/>
        <v>SEDE_ASSADM40</v>
      </c>
      <c r="O162" s="540" t="str">
        <f t="shared" si="464"/>
        <v>SEDE_AUXMAN44</v>
      </c>
      <c r="P162" s="539" t="str">
        <f t="shared" si="464"/>
        <v>SEDE_CFTV44</v>
      </c>
      <c r="Q162" s="539" t="str">
        <f t="shared" si="464"/>
        <v>SEDE_TECREF44</v>
      </c>
      <c r="R162" s="735" t="str">
        <f t="shared" si="464"/>
        <v>SEDE_OFMAN12X36D</v>
      </c>
      <c r="S162" s="735" t="str">
        <f t="shared" si="464"/>
        <v>SEDE_OFMAN12X36N</v>
      </c>
      <c r="T162" s="735" t="str">
        <f t="shared" si="464"/>
        <v>SEDE_TECELETRO12X36D</v>
      </c>
      <c r="U162" s="735" t="str">
        <f t="shared" si="464"/>
        <v>SEDE_TECELETRO12X36N</v>
      </c>
      <c r="V162" s="540" t="str">
        <f t="shared" si="464"/>
        <v>SEDE_BOMHID44</v>
      </c>
      <c r="W162" s="540" t="str">
        <f t="shared" si="464"/>
        <v>SEDE_MARC44</v>
      </c>
      <c r="X162" s="540" t="str">
        <f t="shared" si="464"/>
        <v>SEDE_SERRA44</v>
      </c>
      <c r="Y162" s="540" t="str">
        <f t="shared" si="464"/>
        <v>SEDE_JARD40</v>
      </c>
      <c r="Z162" s="540" t="str">
        <f t="shared" si="464"/>
        <v>SEDE_BOMCIV12X36D</v>
      </c>
      <c r="AA162" s="540" t="str">
        <f t="shared" si="464"/>
        <v>JGRB_OFMAN44</v>
      </c>
      <c r="AB162" s="540" t="str">
        <f t="shared" si="464"/>
        <v>CAB_OFMAN44</v>
      </c>
      <c r="AC162" s="540" t="str">
        <f t="shared" ref="AC162" si="465">AC6</f>
        <v>CAB_JARD40</v>
      </c>
      <c r="AD162" s="540" t="str">
        <f t="shared" si="464"/>
        <v>AQA_OFMAN44</v>
      </c>
      <c r="AE162" s="797" t="str">
        <f t="shared" si="464"/>
        <v>ARU_OFMAN44</v>
      </c>
      <c r="AF162" s="539" t="str">
        <f t="shared" si="464"/>
        <v>BRU_OFMAN44</v>
      </c>
      <c r="AG162" s="540" t="str">
        <f t="shared" si="464"/>
        <v>CAS_TECELETROT44</v>
      </c>
      <c r="AH162" s="540" t="str">
        <f t="shared" si="464"/>
        <v>CAS_OFMAN44</v>
      </c>
      <c r="AI162" s="539" t="str">
        <f t="shared" si="464"/>
        <v>CZO_OFMAN44</v>
      </c>
      <c r="AJ162" s="540" t="str">
        <f t="shared" si="464"/>
        <v>JLS_OFMAN44</v>
      </c>
      <c r="AK162" s="539" t="str">
        <f t="shared" si="464"/>
        <v>MII_OFMAN44</v>
      </c>
      <c r="AL162" s="540" t="str">
        <f t="shared" si="464"/>
        <v>PCA_OFMAN44</v>
      </c>
      <c r="AM162" s="539" t="str">
        <f t="shared" si="464"/>
        <v>PDE_OFMAN44</v>
      </c>
      <c r="AN162" s="540" t="str">
        <f t="shared" si="464"/>
        <v>RPO_OFMAN44</v>
      </c>
      <c r="AO162" s="540" t="str">
        <f t="shared" si="464"/>
        <v>SJE_OFMAN44</v>
      </c>
      <c r="AP162" s="539" t="str">
        <f t="shared" si="464"/>
        <v>SJK_OFMAN44</v>
      </c>
      <c r="AQ162" s="540" t="str">
        <f t="shared" si="464"/>
        <v>SOD_OFMAN44</v>
      </c>
      <c r="AR162" s="539" t="str">
        <f t="shared" si="464"/>
        <v>SSB_OFMAN44</v>
      </c>
      <c r="AS162" s="539" t="str">
        <f t="shared" si="464"/>
        <v>STS_TECELETROT44</v>
      </c>
      <c r="AT162" s="540" t="str">
        <f t="shared" si="464"/>
        <v>STS_OFMAN44</v>
      </c>
    </row>
    <row r="163" spans="10:46" ht="12" hidden="1" customHeight="1">
      <c r="K163" s="551" t="e">
        <f>K143</f>
        <v>#REF!</v>
      </c>
      <c r="L163" s="551" t="e">
        <f t="shared" ref="L163:AR163" si="466">L143</f>
        <v>#REF!</v>
      </c>
      <c r="M163" s="551" t="e">
        <f t="shared" si="466"/>
        <v>#REF!</v>
      </c>
      <c r="N163" s="396" t="e">
        <f t="shared" si="466"/>
        <v>#REF!</v>
      </c>
      <c r="O163" s="396" t="e">
        <f t="shared" si="466"/>
        <v>#REF!</v>
      </c>
      <c r="P163" s="551" t="e">
        <f t="shared" si="466"/>
        <v>#REF!</v>
      </c>
      <c r="Q163" s="551" t="e">
        <f t="shared" si="466"/>
        <v>#REF!</v>
      </c>
      <c r="R163" s="736" t="e">
        <f t="shared" ref="R163:T163" si="467">R143</f>
        <v>#REF!</v>
      </c>
      <c r="S163" s="736" t="e">
        <f t="shared" si="467"/>
        <v>#REF!</v>
      </c>
      <c r="T163" s="736" t="e">
        <f t="shared" si="467"/>
        <v>#REF!</v>
      </c>
      <c r="U163" s="736" t="e">
        <f t="shared" si="466"/>
        <v>#REF!</v>
      </c>
      <c r="V163" s="541" t="e">
        <f t="shared" ref="V163:W163" si="468">V143</f>
        <v>#REF!</v>
      </c>
      <c r="W163" s="541" t="e">
        <f t="shared" si="468"/>
        <v>#REF!</v>
      </c>
      <c r="X163" s="541" t="e">
        <f t="shared" ref="X163:Y163" si="469">X143</f>
        <v>#REF!</v>
      </c>
      <c r="Y163" s="541" t="e">
        <f t="shared" si="469"/>
        <v>#REF!</v>
      </c>
      <c r="Z163" s="541" t="e">
        <f t="shared" ref="Z163:AA163" si="470">Z143</f>
        <v>#REF!</v>
      </c>
      <c r="AA163" s="541" t="e">
        <f t="shared" si="470"/>
        <v>#REF!</v>
      </c>
      <c r="AB163" s="541" t="e">
        <f t="shared" ref="AB163:AD163" si="471">AB143</f>
        <v>#REF!</v>
      </c>
      <c r="AC163" s="541" t="e">
        <f t="shared" si="471"/>
        <v>#REF!</v>
      </c>
      <c r="AD163" s="541" t="e">
        <f t="shared" si="471"/>
        <v>#REF!</v>
      </c>
      <c r="AE163" s="798" t="e">
        <f t="shared" si="466"/>
        <v>#REF!</v>
      </c>
      <c r="AF163" s="543" t="e">
        <f t="shared" si="466"/>
        <v>#REF!</v>
      </c>
      <c r="AG163" s="541" t="e">
        <f t="shared" si="466"/>
        <v>#REF!</v>
      </c>
      <c r="AH163" s="541" t="e">
        <f t="shared" si="466"/>
        <v>#REF!</v>
      </c>
      <c r="AI163" s="543" t="e">
        <f t="shared" si="466"/>
        <v>#REF!</v>
      </c>
      <c r="AJ163" s="541" t="e">
        <f t="shared" si="466"/>
        <v>#REF!</v>
      </c>
      <c r="AK163" s="543" t="e">
        <f t="shared" si="466"/>
        <v>#REF!</v>
      </c>
      <c r="AL163" s="541" t="e">
        <f t="shared" si="466"/>
        <v>#REF!</v>
      </c>
      <c r="AM163" s="543" t="e">
        <f t="shared" si="466"/>
        <v>#REF!</v>
      </c>
      <c r="AN163" s="541" t="e">
        <f t="shared" si="466"/>
        <v>#REF!</v>
      </c>
      <c r="AO163" s="541" t="e">
        <f t="shared" ref="AO163" si="472">AO143</f>
        <v>#REF!</v>
      </c>
      <c r="AP163" s="543" t="e">
        <f t="shared" si="466"/>
        <v>#REF!</v>
      </c>
      <c r="AQ163" s="541" t="e">
        <f t="shared" ref="AQ163" si="473">AQ143</f>
        <v>#REF!</v>
      </c>
      <c r="AR163" s="543" t="e">
        <f t="shared" si="466"/>
        <v>#REF!</v>
      </c>
      <c r="AS163" s="543" t="e">
        <f>AS143</f>
        <v>#REF!</v>
      </c>
      <c r="AT163" s="541" t="e">
        <f>AT143</f>
        <v>#REF!</v>
      </c>
    </row>
    <row r="164" spans="10:46" ht="12" hidden="1" customHeight="1">
      <c r="J164" s="542" t="s">
        <v>898</v>
      </c>
      <c r="K164" s="551" t="e">
        <f>K163</f>
        <v>#REF!</v>
      </c>
      <c r="L164" s="551" t="e">
        <f t="shared" ref="L164" si="474">L163</f>
        <v>#REF!</v>
      </c>
      <c r="M164" s="551" t="e">
        <f t="shared" ref="M164" si="475">M163</f>
        <v>#REF!</v>
      </c>
      <c r="N164" s="893" t="e">
        <f>SUM(N163:O163)</f>
        <v>#REF!</v>
      </c>
      <c r="O164" s="893"/>
      <c r="P164" s="892" t="e">
        <f>SUM(P163:Q163)</f>
        <v>#REF!</v>
      </c>
      <c r="Q164" s="892"/>
      <c r="R164" s="893"/>
      <c r="S164" s="893"/>
      <c r="T164" s="893"/>
      <c r="U164" s="893"/>
      <c r="V164" s="574"/>
      <c r="W164" s="574"/>
      <c r="X164" s="574"/>
      <c r="Y164" s="574"/>
      <c r="Z164" s="574"/>
      <c r="AA164" s="574"/>
      <c r="AB164" s="574"/>
      <c r="AC164" s="574"/>
      <c r="AD164" s="574"/>
      <c r="AE164" s="798" t="e">
        <f>SUM(AE163:AE163)</f>
        <v>#REF!</v>
      </c>
      <c r="AF164" s="551" t="e">
        <f>SUM(AF163:AF163)</f>
        <v>#REF!</v>
      </c>
      <c r="AG164" s="893" t="e">
        <f t="shared" ref="AG164" si="476">SUM(AG163:AH163)</f>
        <v>#REF!</v>
      </c>
      <c r="AH164" s="893"/>
      <c r="AI164" s="551" t="e">
        <f>SUM(AI163:AI163)</f>
        <v>#REF!</v>
      </c>
      <c r="AJ164" s="574" t="e">
        <f>SUM(AJ163:AJ163)</f>
        <v>#REF!</v>
      </c>
      <c r="AK164" s="551" t="e">
        <f>SUM(AK163:AK163)</f>
        <v>#REF!</v>
      </c>
      <c r="AL164" s="574" t="e">
        <f>SUM(AL163:AL163)</f>
        <v>#REF!</v>
      </c>
      <c r="AM164" s="816" t="e">
        <f>SUM(AM163:AM163)</f>
        <v>#REF!</v>
      </c>
      <c r="AN164" s="574" t="e">
        <f>SUM(AN163:AN163)</f>
        <v>#REF!</v>
      </c>
      <c r="AO164" s="574"/>
      <c r="AP164" s="551" t="e">
        <f>SUM(AP163:AP163)</f>
        <v>#REF!</v>
      </c>
      <c r="AQ164" s="551"/>
      <c r="AR164" s="551" t="e">
        <f>SUM(AR163:AR163)</f>
        <v>#REF!</v>
      </c>
      <c r="AS164" s="551"/>
      <c r="AT164" s="574" t="e">
        <f>SUM(AT163:AT163)</f>
        <v>#REF!</v>
      </c>
    </row>
    <row r="165" spans="10:46" ht="12.75" hidden="1" customHeight="1">
      <c r="J165" s="542" t="s">
        <v>908</v>
      </c>
      <c r="K165" s="550" t="e">
        <f>K111*K164</f>
        <v>#REF!</v>
      </c>
      <c r="L165" s="550" t="e">
        <f>L111*L164</f>
        <v>#REF!</v>
      </c>
      <c r="M165" s="550" t="e">
        <f>M111*M164</f>
        <v>#REF!</v>
      </c>
      <c r="N165" s="888" t="e">
        <f>(((N111*N163)+(O111*O163))/N164)*N164</f>
        <v>#REF!</v>
      </c>
      <c r="O165" s="888"/>
      <c r="P165" s="881" t="e">
        <f>(((P111*P163)+(Q111*Q163))/P164)*P164</f>
        <v>#REF!</v>
      </c>
      <c r="Q165" s="889"/>
      <c r="R165" s="883"/>
      <c r="S165" s="883"/>
      <c r="T165" s="883"/>
      <c r="U165" s="891"/>
      <c r="V165" s="566"/>
      <c r="W165" s="566"/>
      <c r="X165" s="566"/>
      <c r="Y165" s="566"/>
      <c r="Z165" s="566"/>
      <c r="AA165" s="566"/>
      <c r="AB165" s="566"/>
      <c r="AC165" s="566"/>
      <c r="AD165" s="566"/>
      <c r="AE165" s="804" t="e">
        <f>(((AE111*AE163)+(#REF!*#REF!))/AE164)*AE164</f>
        <v>#REF!</v>
      </c>
      <c r="AF165" s="568" t="e">
        <f>(((AF111*AF163)+(#REF!*#REF!))/AF164)*AF164</f>
        <v>#REF!</v>
      </c>
      <c r="AG165" s="890" t="e">
        <f>(((AG111*AG163)+(AH111*AH163))/AG164)*AG164</f>
        <v>#REF!</v>
      </c>
      <c r="AH165" s="891"/>
      <c r="AI165" s="568" t="e">
        <f>(((AI111*AI163)+(#REF!*#REF!))/AI164)*AI164</f>
        <v>#REF!</v>
      </c>
      <c r="AJ165" s="575" t="e">
        <f>(((AJ111*AJ163)+(#REF!*#REF!))/AJ164)*AJ164</f>
        <v>#REF!</v>
      </c>
      <c r="AK165" s="568" t="e">
        <f>(((AK111*AK163)+(#REF!*#REF!))/AK164)*AK164</f>
        <v>#REF!</v>
      </c>
      <c r="AL165" s="575" t="e">
        <f>(((AL111*AL163)+(#REF!*#REF!))/AL164)*AL164</f>
        <v>#REF!</v>
      </c>
      <c r="AM165" s="821" t="e">
        <f>(((AM111*AM163)+(#REF!*#REF!))/AM164)*AM164</f>
        <v>#REF!</v>
      </c>
      <c r="AN165" s="575" t="e">
        <f>(((AN111*AN163)+(#REF!*#REF!))/AN164)*AN164</f>
        <v>#REF!</v>
      </c>
      <c r="AO165" s="575"/>
      <c r="AP165" s="568" t="e">
        <f>(((AP111*AP163)+(#REF!*#REF!))/AP164)*AP164</f>
        <v>#REF!</v>
      </c>
      <c r="AQ165" s="568"/>
      <c r="AR165" s="568" t="e">
        <f>(((AR111*AR163)+(#REF!*#REF!))/AR164)*AR164</f>
        <v>#REF!</v>
      </c>
      <c r="AS165" s="639"/>
      <c r="AT165" s="575" t="e">
        <f>(((AT111*AT163)+(#REF!*#REF!))/AT164)*AT164</f>
        <v>#REF!</v>
      </c>
    </row>
    <row r="166" spans="10:46" ht="12" hidden="1" customHeight="1">
      <c r="J166" s="542" t="s">
        <v>909</v>
      </c>
      <c r="K166" s="501" t="e">
        <f>SUM(K165:AR165)</f>
        <v>#REF!</v>
      </c>
      <c r="L166" s="545"/>
      <c r="M166" s="545"/>
      <c r="P166" s="544"/>
      <c r="Q166" s="544"/>
      <c r="AE166" s="800"/>
      <c r="AF166" s="544"/>
      <c r="AI166" s="544"/>
      <c r="AK166" s="544"/>
      <c r="AM166" s="544"/>
      <c r="AP166" s="544"/>
      <c r="AR166" s="544"/>
      <c r="AS166" s="544"/>
    </row>
    <row r="167" spans="10:46" ht="12.75" hidden="1" customHeight="1">
      <c r="J167" s="542" t="s">
        <v>910</v>
      </c>
      <c r="K167" s="550" t="e">
        <f>K112*K164</f>
        <v>#REF!</v>
      </c>
      <c r="L167" s="550" t="e">
        <f>L112*L164</f>
        <v>#REF!</v>
      </c>
      <c r="M167" s="550" t="e">
        <f>M112*M164</f>
        <v>#REF!</v>
      </c>
      <c r="N167" s="888" t="e">
        <f>(((N112*N163)+(O112*O163))/N164)*N164</f>
        <v>#REF!</v>
      </c>
      <c r="O167" s="888"/>
      <c r="P167" s="887" t="e">
        <f>(((P112*P163)+(Q112*Q163))/P164)*P164</f>
        <v>#REF!</v>
      </c>
      <c r="Q167" s="887"/>
      <c r="R167" s="888"/>
      <c r="S167" s="888"/>
      <c r="T167" s="888"/>
      <c r="U167" s="888"/>
      <c r="V167" s="573"/>
      <c r="W167" s="573"/>
      <c r="X167" s="573"/>
      <c r="Y167" s="573"/>
      <c r="Z167" s="573"/>
      <c r="AA167" s="573"/>
      <c r="AB167" s="573"/>
      <c r="AC167" s="573"/>
      <c r="AD167" s="573"/>
      <c r="AE167" s="805" t="e">
        <f>(((AE112*AE163)+(#REF!*#REF!))/AE164)*AE164</f>
        <v>#REF!</v>
      </c>
      <c r="AF167" s="550" t="e">
        <f>(((AF112*AF163)+(#REF!*#REF!))/AF164)*AF164</f>
        <v>#REF!</v>
      </c>
      <c r="AG167" s="888" t="e">
        <f>(((AG112*AG163)+(AH112*AH163))/AG164)*AG164</f>
        <v>#REF!</v>
      </c>
      <c r="AH167" s="888"/>
      <c r="AI167" s="550" t="e">
        <f>(((AI112*AI163)+(#REF!*#REF!))/AI164)*AI164</f>
        <v>#REF!</v>
      </c>
      <c r="AJ167" s="573" t="e">
        <f>(((AJ112*AJ163)+(#REF!*#REF!))/AJ164)*AJ164</f>
        <v>#REF!</v>
      </c>
      <c r="AK167" s="550" t="e">
        <f>(((AK112*AK163)+(#REF!*#REF!))/AK164)*AK164</f>
        <v>#REF!</v>
      </c>
      <c r="AL167" s="573" t="e">
        <f>(((AL112*AL163)+(#REF!*#REF!))/AL164)*AL164</f>
        <v>#REF!</v>
      </c>
      <c r="AM167" s="823" t="e">
        <f>(((AM112*AM163)+(#REF!*#REF!))/AM164)*AM164</f>
        <v>#REF!</v>
      </c>
      <c r="AN167" s="573" t="e">
        <f>(((AN112*AN163)+(#REF!*#REF!))/AN164)*AN164</f>
        <v>#REF!</v>
      </c>
      <c r="AO167" s="573"/>
      <c r="AP167" s="550" t="e">
        <f>(((AP112*AP163)+(#REF!*#REF!))/AP164)*AP164</f>
        <v>#REF!</v>
      </c>
      <c r="AQ167" s="550"/>
      <c r="AR167" s="550" t="e">
        <f>(((AR112*AR163)+(#REF!*#REF!))/AR164)*AR164</f>
        <v>#REF!</v>
      </c>
      <c r="AS167" s="550"/>
      <c r="AT167" s="573" t="e">
        <f>(((AT112*AT163)+(#REF!*#REF!))/AT164)*AT164</f>
        <v>#REF!</v>
      </c>
    </row>
    <row r="168" spans="10:46" ht="12" hidden="1" customHeight="1">
      <c r="J168" s="542" t="s">
        <v>911</v>
      </c>
      <c r="K168" s="501" t="e">
        <f>SUM(K167:AR167)</f>
        <v>#REF!</v>
      </c>
    </row>
    <row r="169" spans="10:46" ht="12" hidden="1" customHeight="1">
      <c r="J169" s="542" t="s">
        <v>912</v>
      </c>
      <c r="K169" s="501" t="e">
        <f>K166+K168</f>
        <v>#REF!</v>
      </c>
    </row>
    <row r="170" spans="10:46" ht="12" hidden="1" customHeight="1"/>
    <row r="171" spans="10:46" ht="12" hidden="1" customHeight="1"/>
    <row r="172" spans="10:46" ht="12" hidden="1" customHeight="1">
      <c r="J172" s="542" t="s">
        <v>913</v>
      </c>
      <c r="K172" s="501" t="e">
        <f>K169+#REF!</f>
        <v>#REF!</v>
      </c>
    </row>
  </sheetData>
  <mergeCells count="539">
    <mergeCell ref="A40:J40"/>
    <mergeCell ref="A41:J41"/>
    <mergeCell ref="A42:J42"/>
    <mergeCell ref="A43:J43"/>
    <mergeCell ref="A44:J44"/>
    <mergeCell ref="AN22:AN23"/>
    <mergeCell ref="AO22:AO23"/>
    <mergeCell ref="AS22:AS23"/>
    <mergeCell ref="AL22:AL23"/>
    <mergeCell ref="AM26:AM27"/>
    <mergeCell ref="AN26:AN27"/>
    <mergeCell ref="AO26:AO27"/>
    <mergeCell ref="AM35:AM36"/>
    <mergeCell ref="AS26:AS27"/>
    <mergeCell ref="AF22:AF23"/>
    <mergeCell ref="AG22:AG23"/>
    <mergeCell ref="AH22:AH23"/>
    <mergeCell ref="AI22:AI23"/>
    <mergeCell ref="AF35:AF36"/>
    <mergeCell ref="AL26:AL27"/>
    <mergeCell ref="A22:J22"/>
    <mergeCell ref="AT26:AT27"/>
    <mergeCell ref="AP26:AP27"/>
    <mergeCell ref="AR26:AR27"/>
    <mergeCell ref="AP22:AP23"/>
    <mergeCell ref="AQ22:AQ23"/>
    <mergeCell ref="AR22:AR23"/>
    <mergeCell ref="AQ26:AQ27"/>
    <mergeCell ref="AT22:AT23"/>
    <mergeCell ref="A53:J53"/>
    <mergeCell ref="A50:J50"/>
    <mergeCell ref="A48:I48"/>
    <mergeCell ref="AS35:AS36"/>
    <mergeCell ref="AP35:AP36"/>
    <mergeCell ref="AQ35:AQ36"/>
    <mergeCell ref="AR35:AR36"/>
    <mergeCell ref="AL35:AL36"/>
    <mergeCell ref="AN35:AN36"/>
    <mergeCell ref="AO35:AO36"/>
    <mergeCell ref="AT35:AT36"/>
    <mergeCell ref="AM22:AM23"/>
    <mergeCell ref="AH35:AH36"/>
    <mergeCell ref="AJ26:AJ27"/>
    <mergeCell ref="AK26:AK27"/>
    <mergeCell ref="A54:J54"/>
    <mergeCell ref="A51:J51"/>
    <mergeCell ref="A52:J52"/>
    <mergeCell ref="B26:C27"/>
    <mergeCell ref="AI26:AI27"/>
    <mergeCell ref="A36:I36"/>
    <mergeCell ref="N26:N27"/>
    <mergeCell ref="P35:P36"/>
    <mergeCell ref="N50:N51"/>
    <mergeCell ref="O50:O51"/>
    <mergeCell ref="P50:P51"/>
    <mergeCell ref="Q50:Q51"/>
    <mergeCell ref="R35:R36"/>
    <mergeCell ref="S35:S36"/>
    <mergeCell ref="T35:T36"/>
    <mergeCell ref="A45:J45"/>
    <mergeCell ref="A46:J46"/>
    <mergeCell ref="A47:J47"/>
    <mergeCell ref="A37:J37"/>
    <mergeCell ref="A38:J38"/>
    <mergeCell ref="A39:J39"/>
    <mergeCell ref="AI35:AI36"/>
    <mergeCell ref="AG35:AG36"/>
    <mergeCell ref="A77:I77"/>
    <mergeCell ref="A76:I76"/>
    <mergeCell ref="A72:J72"/>
    <mergeCell ref="A71:J71"/>
    <mergeCell ref="A70:J70"/>
    <mergeCell ref="A69:I69"/>
    <mergeCell ref="A67:J67"/>
    <mergeCell ref="A57:I57"/>
    <mergeCell ref="A55:I55"/>
    <mergeCell ref="B64:H64"/>
    <mergeCell ref="B61:H61"/>
    <mergeCell ref="B60:H60"/>
    <mergeCell ref="A137:J137"/>
    <mergeCell ref="A134:J134"/>
    <mergeCell ref="B111:I111"/>
    <mergeCell ref="A88:I88"/>
    <mergeCell ref="A130:J130"/>
    <mergeCell ref="B11:J11"/>
    <mergeCell ref="B31:I31"/>
    <mergeCell ref="A4:J4"/>
    <mergeCell ref="B3:J3"/>
    <mergeCell ref="A9:J9"/>
    <mergeCell ref="B10:J10"/>
    <mergeCell ref="A14:J14"/>
    <mergeCell ref="A8:J8"/>
    <mergeCell ref="A17:I17"/>
    <mergeCell ref="B18:I18"/>
    <mergeCell ref="B19:I19"/>
    <mergeCell ref="B24:I24"/>
    <mergeCell ref="B25:I25"/>
    <mergeCell ref="A20:I20"/>
    <mergeCell ref="B28:I28"/>
    <mergeCell ref="B29:I29"/>
    <mergeCell ref="B30:I30"/>
    <mergeCell ref="J26:J27"/>
    <mergeCell ref="A132:J132"/>
    <mergeCell ref="A140:J140"/>
    <mergeCell ref="A119:I119"/>
    <mergeCell ref="A121:J121"/>
    <mergeCell ref="A66:I66"/>
    <mergeCell ref="A124:J124"/>
    <mergeCell ref="A125:J125"/>
    <mergeCell ref="A106:J106"/>
    <mergeCell ref="B112:I112"/>
    <mergeCell ref="A90:I90"/>
    <mergeCell ref="A73:I73"/>
    <mergeCell ref="A107:I107"/>
    <mergeCell ref="A127:I127"/>
    <mergeCell ref="A93:I93"/>
    <mergeCell ref="B94:I94"/>
    <mergeCell ref="B95:I95"/>
    <mergeCell ref="A80:I80"/>
    <mergeCell ref="A126:J126"/>
    <mergeCell ref="A135:J135"/>
    <mergeCell ref="A136:J136"/>
    <mergeCell ref="A138:J138"/>
    <mergeCell ref="B114:E116"/>
    <mergeCell ref="B96:I96"/>
    <mergeCell ref="A133:J133"/>
    <mergeCell ref="A87:I87"/>
    <mergeCell ref="A131:J131"/>
    <mergeCell ref="K50:K51"/>
    <mergeCell ref="L50:L51"/>
    <mergeCell ref="M50:M51"/>
    <mergeCell ref="B79:I79"/>
    <mergeCell ref="F117:H118"/>
    <mergeCell ref="I118:J118"/>
    <mergeCell ref="B117:E118"/>
    <mergeCell ref="B113:I113"/>
    <mergeCell ref="B62:H62"/>
    <mergeCell ref="A89:I89"/>
    <mergeCell ref="A113:A118"/>
    <mergeCell ref="A82:I82"/>
    <mergeCell ref="A83:I83"/>
    <mergeCell ref="B84:I84"/>
    <mergeCell ref="B78:I78"/>
    <mergeCell ref="K76:K77"/>
    <mergeCell ref="L76:L77"/>
    <mergeCell ref="M76:M77"/>
    <mergeCell ref="K82:K83"/>
    <mergeCell ref="L82:L83"/>
    <mergeCell ref="M82:M83"/>
    <mergeCell ref="K86:K87"/>
    <mergeCell ref="A86:I86"/>
    <mergeCell ref="A110:I110"/>
    <mergeCell ref="A128:J128"/>
    <mergeCell ref="A129:J129"/>
    <mergeCell ref="A99:I99"/>
    <mergeCell ref="A101:J101"/>
    <mergeCell ref="A102:J102"/>
    <mergeCell ref="A103:J103"/>
    <mergeCell ref="B98:I98"/>
    <mergeCell ref="A104:J104"/>
    <mergeCell ref="A105:J105"/>
    <mergeCell ref="A122:J122"/>
    <mergeCell ref="A123:J123"/>
    <mergeCell ref="A1:J1"/>
    <mergeCell ref="A26:A27"/>
    <mergeCell ref="AK35:AK36"/>
    <mergeCell ref="K35:K36"/>
    <mergeCell ref="L35:L36"/>
    <mergeCell ref="M35:M36"/>
    <mergeCell ref="N35:N36"/>
    <mergeCell ref="O35:O36"/>
    <mergeCell ref="AJ35:AJ36"/>
    <mergeCell ref="AJ22:AJ23"/>
    <mergeCell ref="AK22:AK23"/>
    <mergeCell ref="AF26:AF27"/>
    <mergeCell ref="AG26:AG27"/>
    <mergeCell ref="AH26:AH27"/>
    <mergeCell ref="AE26:AE27"/>
    <mergeCell ref="N22:N23"/>
    <mergeCell ref="O22:O23"/>
    <mergeCell ref="P22:P23"/>
    <mergeCell ref="Q22:Q23"/>
    <mergeCell ref="U22:U23"/>
    <mergeCell ref="AE22:AE23"/>
    <mergeCell ref="B12:J12"/>
    <mergeCell ref="Z50:Z51"/>
    <mergeCell ref="U50:U51"/>
    <mergeCell ref="AE50:AE51"/>
    <mergeCell ref="AF50:AF51"/>
    <mergeCell ref="AG50:AG51"/>
    <mergeCell ref="AH50:AH51"/>
    <mergeCell ref="R50:R51"/>
    <mergeCell ref="AB50:AB51"/>
    <mergeCell ref="AD50:AD51"/>
    <mergeCell ref="S50:S51"/>
    <mergeCell ref="T50:T51"/>
    <mergeCell ref="W50:W51"/>
    <mergeCell ref="V50:V51"/>
    <mergeCell ref="AG76:AG77"/>
    <mergeCell ref="AH76:AH77"/>
    <mergeCell ref="AP76:AP77"/>
    <mergeCell ref="AI50:AI51"/>
    <mergeCell ref="AM76:AM77"/>
    <mergeCell ref="AN50:AN51"/>
    <mergeCell ref="AO50:AO51"/>
    <mergeCell ref="AS76:AS77"/>
    <mergeCell ref="AS50:AS51"/>
    <mergeCell ref="AT50:AT51"/>
    <mergeCell ref="AP50:AP51"/>
    <mergeCell ref="AQ50:AQ51"/>
    <mergeCell ref="AJ50:AJ51"/>
    <mergeCell ref="AK50:AK51"/>
    <mergeCell ref="AR50:AR51"/>
    <mergeCell ref="AL50:AL51"/>
    <mergeCell ref="AM50:AM51"/>
    <mergeCell ref="N76:N77"/>
    <mergeCell ref="O76:O77"/>
    <mergeCell ref="P76:P77"/>
    <mergeCell ref="Q76:Q77"/>
    <mergeCell ref="U76:U77"/>
    <mergeCell ref="R76:R77"/>
    <mergeCell ref="S76:S77"/>
    <mergeCell ref="T76:T77"/>
    <mergeCell ref="AS86:AS87"/>
    <mergeCell ref="AT86:AT87"/>
    <mergeCell ref="AP86:AP87"/>
    <mergeCell ref="N82:N83"/>
    <mergeCell ref="O82:O83"/>
    <mergeCell ref="P82:P83"/>
    <mergeCell ref="Q82:Q83"/>
    <mergeCell ref="U82:U83"/>
    <mergeCell ref="R82:R83"/>
    <mergeCell ref="S82:S83"/>
    <mergeCell ref="T82:T83"/>
    <mergeCell ref="AE82:AE83"/>
    <mergeCell ref="AF82:AF83"/>
    <mergeCell ref="AG82:AG83"/>
    <mergeCell ref="AH82:AH83"/>
    <mergeCell ref="AR82:AR83"/>
    <mergeCell ref="AG86:AG87"/>
    <mergeCell ref="AH86:AH87"/>
    <mergeCell ref="AI86:AI87"/>
    <mergeCell ref="AJ86:AJ87"/>
    <mergeCell ref="AI82:AI83"/>
    <mergeCell ref="AJ82:AJ83"/>
    <mergeCell ref="AP82:AP83"/>
    <mergeCell ref="AQ82:AQ83"/>
    <mergeCell ref="AS82:AS83"/>
    <mergeCell ref="AT82:AT83"/>
    <mergeCell ref="AK82:AK83"/>
    <mergeCell ref="AL82:AL83"/>
    <mergeCell ref="AM82:AM83"/>
    <mergeCell ref="AN82:AN83"/>
    <mergeCell ref="AO82:AO83"/>
    <mergeCell ref="AR76:AR77"/>
    <mergeCell ref="AI76:AI77"/>
    <mergeCell ref="AJ76:AJ77"/>
    <mergeCell ref="AK76:AK77"/>
    <mergeCell ref="AL76:AL77"/>
    <mergeCell ref="AN76:AN77"/>
    <mergeCell ref="AO76:AO77"/>
    <mergeCell ref="AQ76:AQ77"/>
    <mergeCell ref="AT76:AT77"/>
    <mergeCell ref="AK86:AK87"/>
    <mergeCell ref="AL86:AL87"/>
    <mergeCell ref="AM86:AM87"/>
    <mergeCell ref="AG92:AG93"/>
    <mergeCell ref="AH92:AH93"/>
    <mergeCell ref="AQ86:AQ87"/>
    <mergeCell ref="AR86:AR87"/>
    <mergeCell ref="AQ92:AQ93"/>
    <mergeCell ref="AN86:AN87"/>
    <mergeCell ref="AO86:AO87"/>
    <mergeCell ref="K92:K93"/>
    <mergeCell ref="L92:L93"/>
    <mergeCell ref="M92:M93"/>
    <mergeCell ref="N92:N93"/>
    <mergeCell ref="O92:O93"/>
    <mergeCell ref="P92:P93"/>
    <mergeCell ref="Q92:Q93"/>
    <mergeCell ref="U92:U93"/>
    <mergeCell ref="AS109:AS110"/>
    <mergeCell ref="AT109:AT110"/>
    <mergeCell ref="AP109:AP110"/>
    <mergeCell ref="AR92:AR93"/>
    <mergeCell ref="AM92:AM93"/>
    <mergeCell ref="AI92:AI93"/>
    <mergeCell ref="AJ92:AJ93"/>
    <mergeCell ref="AP92:AP93"/>
    <mergeCell ref="AS92:AS93"/>
    <mergeCell ref="AT92:AT93"/>
    <mergeCell ref="AK92:AK93"/>
    <mergeCell ref="AL92:AL93"/>
    <mergeCell ref="AN92:AN93"/>
    <mergeCell ref="AO92:AO93"/>
    <mergeCell ref="B97:I97"/>
    <mergeCell ref="AG109:AG110"/>
    <mergeCell ref="AH109:AH110"/>
    <mergeCell ref="AI109:AI110"/>
    <mergeCell ref="AJ109:AJ110"/>
    <mergeCell ref="V109:V110"/>
    <mergeCell ref="W109:W110"/>
    <mergeCell ref="X109:X110"/>
    <mergeCell ref="Y109:Y110"/>
    <mergeCell ref="Z109:Z110"/>
    <mergeCell ref="AA109:AA110"/>
    <mergeCell ref="AD109:AD110"/>
    <mergeCell ref="W92:W93"/>
    <mergeCell ref="R92:R93"/>
    <mergeCell ref="Z86:Z87"/>
    <mergeCell ref="Z92:Z93"/>
    <mergeCell ref="L86:L87"/>
    <mergeCell ref="M86:M87"/>
    <mergeCell ref="N86:N87"/>
    <mergeCell ref="O86:O87"/>
    <mergeCell ref="P86:P87"/>
    <mergeCell ref="Q86:Q87"/>
    <mergeCell ref="U86:U87"/>
    <mergeCell ref="R86:R87"/>
    <mergeCell ref="S86:S87"/>
    <mergeCell ref="T86:T87"/>
    <mergeCell ref="AE86:AE87"/>
    <mergeCell ref="AF86:AF87"/>
    <mergeCell ref="AE76:AE77"/>
    <mergeCell ref="AF76:AF77"/>
    <mergeCell ref="W82:W83"/>
    <mergeCell ref="W86:W87"/>
    <mergeCell ref="V76:V77"/>
    <mergeCell ref="V82:V83"/>
    <mergeCell ref="V86:V87"/>
    <mergeCell ref="AA82:AA83"/>
    <mergeCell ref="AA76:AA77"/>
    <mergeCell ref="Z76:Z77"/>
    <mergeCell ref="Z82:Z83"/>
    <mergeCell ref="W76:W77"/>
    <mergeCell ref="AD76:AD77"/>
    <mergeCell ref="AC86:AC87"/>
    <mergeCell ref="U109:U110"/>
    <mergeCell ref="AE109:AE110"/>
    <mergeCell ref="AF109:AF110"/>
    <mergeCell ref="R109:R110"/>
    <mergeCell ref="S109:S110"/>
    <mergeCell ref="T109:T110"/>
    <mergeCell ref="AE92:AE93"/>
    <mergeCell ref="AF92:AF93"/>
    <mergeCell ref="V92:V93"/>
    <mergeCell ref="S92:S93"/>
    <mergeCell ref="T92:T93"/>
    <mergeCell ref="Y92:Y93"/>
    <mergeCell ref="AB109:AB110"/>
    <mergeCell ref="AC92:AC93"/>
    <mergeCell ref="AC109:AC110"/>
    <mergeCell ref="U35:U36"/>
    <mergeCell ref="A33:I33"/>
    <mergeCell ref="B32:I32"/>
    <mergeCell ref="U26:U27"/>
    <mergeCell ref="K26:K27"/>
    <mergeCell ref="L26:L27"/>
    <mergeCell ref="AE35:AE36"/>
    <mergeCell ref="M26:M27"/>
    <mergeCell ref="O26:O27"/>
    <mergeCell ref="P26:P27"/>
    <mergeCell ref="Q26:Q27"/>
    <mergeCell ref="A35:J35"/>
    <mergeCell ref="R26:R27"/>
    <mergeCell ref="S26:S27"/>
    <mergeCell ref="T26:T27"/>
    <mergeCell ref="V26:V27"/>
    <mergeCell ref="V35:V36"/>
    <mergeCell ref="W26:W27"/>
    <mergeCell ref="W35:W36"/>
    <mergeCell ref="Z26:Z27"/>
    <mergeCell ref="Z35:Z36"/>
    <mergeCell ref="Q35:Q36"/>
    <mergeCell ref="Y26:Y27"/>
    <mergeCell ref="AH16:AH17"/>
    <mergeCell ref="AI16:AI17"/>
    <mergeCell ref="AJ16:AJ17"/>
    <mergeCell ref="U16:U17"/>
    <mergeCell ref="AE16:AE17"/>
    <mergeCell ref="K22:K23"/>
    <mergeCell ref="L22:L23"/>
    <mergeCell ref="M22:M23"/>
    <mergeCell ref="R22:R23"/>
    <mergeCell ref="S22:S23"/>
    <mergeCell ref="T22:T23"/>
    <mergeCell ref="V22:V23"/>
    <mergeCell ref="W22:W23"/>
    <mergeCell ref="Z22:Z23"/>
    <mergeCell ref="K16:K17"/>
    <mergeCell ref="L16:L17"/>
    <mergeCell ref="Y22:Y23"/>
    <mergeCell ref="AA22:AA23"/>
    <mergeCell ref="A5:J5"/>
    <mergeCell ref="AF16:AF17"/>
    <mergeCell ref="AG16:AG17"/>
    <mergeCell ref="Q16:Q17"/>
    <mergeCell ref="R16:R17"/>
    <mergeCell ref="S16:S17"/>
    <mergeCell ref="T16:T17"/>
    <mergeCell ref="V16:V17"/>
    <mergeCell ref="W16:W17"/>
    <mergeCell ref="AB16:AB17"/>
    <mergeCell ref="AD16:AD17"/>
    <mergeCell ref="Y16:Y17"/>
    <mergeCell ref="Z16:Z17"/>
    <mergeCell ref="M16:M17"/>
    <mergeCell ref="N16:N17"/>
    <mergeCell ref="O16:O17"/>
    <mergeCell ref="P16:P17"/>
    <mergeCell ref="B13:J13"/>
    <mergeCell ref="X16:X17"/>
    <mergeCell ref="A16:J16"/>
    <mergeCell ref="AA16:AA17"/>
    <mergeCell ref="AC16:AC17"/>
    <mergeCell ref="AT16:AT17"/>
    <mergeCell ref="AP16:AP17"/>
    <mergeCell ref="AQ16:AQ17"/>
    <mergeCell ref="AR16:AR17"/>
    <mergeCell ref="AK16:AK17"/>
    <mergeCell ref="AL16:AL17"/>
    <mergeCell ref="AM16:AM17"/>
    <mergeCell ref="AN16:AN17"/>
    <mergeCell ref="AO16:AO17"/>
    <mergeCell ref="AS16:AS17"/>
    <mergeCell ref="N144:O144"/>
    <mergeCell ref="P144:Q144"/>
    <mergeCell ref="R144:U144"/>
    <mergeCell ref="AG144:AH144"/>
    <mergeCell ref="A75:J75"/>
    <mergeCell ref="A92:J92"/>
    <mergeCell ref="A109:J109"/>
    <mergeCell ref="AR109:AR110"/>
    <mergeCell ref="AK109:AK110"/>
    <mergeCell ref="AL109:AL110"/>
    <mergeCell ref="AM109:AM110"/>
    <mergeCell ref="AN109:AN110"/>
    <mergeCell ref="AO109:AO110"/>
    <mergeCell ref="AQ109:AQ110"/>
    <mergeCell ref="K109:K110"/>
    <mergeCell ref="L109:L110"/>
    <mergeCell ref="M109:M110"/>
    <mergeCell ref="N109:N110"/>
    <mergeCell ref="O109:O110"/>
    <mergeCell ref="P109:P110"/>
    <mergeCell ref="Q109:Q110"/>
    <mergeCell ref="X92:X93"/>
    <mergeCell ref="AG164:AH164"/>
    <mergeCell ref="N154:O154"/>
    <mergeCell ref="P154:Q154"/>
    <mergeCell ref="R154:U154"/>
    <mergeCell ref="AG154:AH154"/>
    <mergeCell ref="N145:O145"/>
    <mergeCell ref="P145:Q145"/>
    <mergeCell ref="R145:U145"/>
    <mergeCell ref="AG145:AH145"/>
    <mergeCell ref="R155:U155"/>
    <mergeCell ref="AG155:AH155"/>
    <mergeCell ref="N150:O150"/>
    <mergeCell ref="P150:Q150"/>
    <mergeCell ref="R150:U150"/>
    <mergeCell ref="AG150:AH150"/>
    <mergeCell ref="K146:M146"/>
    <mergeCell ref="N146:O146"/>
    <mergeCell ref="P146:Q146"/>
    <mergeCell ref="R146:U146"/>
    <mergeCell ref="AG146:AH146"/>
    <mergeCell ref="N167:O167"/>
    <mergeCell ref="P167:Q167"/>
    <mergeCell ref="R167:U167"/>
    <mergeCell ref="AG167:AH167"/>
    <mergeCell ref="N165:O165"/>
    <mergeCell ref="P165:Q165"/>
    <mergeCell ref="R165:U165"/>
    <mergeCell ref="AG165:AH165"/>
    <mergeCell ref="N164:O164"/>
    <mergeCell ref="P164:Q164"/>
    <mergeCell ref="R164:U164"/>
    <mergeCell ref="K150:M150"/>
    <mergeCell ref="K155:M155"/>
    <mergeCell ref="N155:O155"/>
    <mergeCell ref="P155:Q155"/>
    <mergeCell ref="K149:M149"/>
    <mergeCell ref="N149:O149"/>
    <mergeCell ref="P149:Q149"/>
    <mergeCell ref="R149:U149"/>
    <mergeCell ref="AG149:AH149"/>
    <mergeCell ref="A139:J139"/>
    <mergeCell ref="K159:M159"/>
    <mergeCell ref="N159:O159"/>
    <mergeCell ref="P159:Q159"/>
    <mergeCell ref="R159:U159"/>
    <mergeCell ref="AG159:AH159"/>
    <mergeCell ref="K152:M152"/>
    <mergeCell ref="N152:O152"/>
    <mergeCell ref="P152:Q152"/>
    <mergeCell ref="R152:U152"/>
    <mergeCell ref="AG152:AH152"/>
    <mergeCell ref="K151:M151"/>
    <mergeCell ref="N151:O151"/>
    <mergeCell ref="P151:Q151"/>
    <mergeCell ref="R151:U151"/>
    <mergeCell ref="AG151:AH151"/>
    <mergeCell ref="Y35:Y36"/>
    <mergeCell ref="X22:X23"/>
    <mergeCell ref="X26:X27"/>
    <mergeCell ref="X35:X36"/>
    <mergeCell ref="Y86:Y87"/>
    <mergeCell ref="X50:X51"/>
    <mergeCell ref="X76:X77"/>
    <mergeCell ref="X82:X83"/>
    <mergeCell ref="X86:X87"/>
    <mergeCell ref="Y50:Y51"/>
    <mergeCell ref="Y76:Y77"/>
    <mergeCell ref="Y82:Y83"/>
    <mergeCell ref="AA26:AA27"/>
    <mergeCell ref="AA35:AA36"/>
    <mergeCell ref="AB22:AB23"/>
    <mergeCell ref="AB26:AB27"/>
    <mergeCell ref="AB35:AB36"/>
    <mergeCell ref="AA86:AA87"/>
    <mergeCell ref="AA92:AA93"/>
    <mergeCell ref="AD82:AD83"/>
    <mergeCell ref="AD86:AD87"/>
    <mergeCell ref="AD92:AD93"/>
    <mergeCell ref="AD22:AD23"/>
    <mergeCell ref="AD26:AD27"/>
    <mergeCell ref="AD35:AD36"/>
    <mergeCell ref="AB76:AB77"/>
    <mergeCell ref="AB82:AB83"/>
    <mergeCell ref="AB86:AB87"/>
    <mergeCell ref="AB92:AB93"/>
    <mergeCell ref="AA50:AA51"/>
    <mergeCell ref="AC22:AC23"/>
    <mergeCell ref="AC26:AC27"/>
    <mergeCell ref="AC35:AC36"/>
    <mergeCell ref="AC50:AC51"/>
    <mergeCell ref="AC76:AC77"/>
    <mergeCell ref="AC82:AC83"/>
  </mergeCells>
  <conditionalFormatting sqref="J61">
    <cfRule type="cellIs" dxfId="2" priority="52" operator="lessThan">
      <formula>0.05</formula>
    </cfRule>
  </conditionalFormatting>
  <conditionalFormatting sqref="K8:AT8">
    <cfRule type="cellIs" dxfId="1" priority="1" operator="equal">
      <formula>"0%"</formula>
    </cfRule>
    <cfRule type="cellIs" dxfId="0" priority="2" operator="equal">
      <formula>"30%"</formula>
    </cfRule>
  </conditionalFormatting>
  <pageMargins left="0.55118110236220474" right="0.31496062992125984" top="0.78740157480314965" bottom="0.78740157480314965" header="0.31496062992125984" footer="0.31496062992125984"/>
  <pageSetup paperSize="9" scale="85" fitToHeight="8" orientation="portrait" r:id="rId1"/>
  <rowBreaks count="2" manualBreakCount="2">
    <brk id="95" max="13" man="1"/>
    <brk id="118" max="13" man="1"/>
  </rowBreaks>
  <ignoredErrors>
    <ignoredError sqref="K167:M167 K154:M154" 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81507E5F06F4242B81B45A3260E0E8C" ma:contentTypeVersion="13" ma:contentTypeDescription="Create a new document." ma:contentTypeScope="" ma:versionID="aa12df702e124b7ea79a98da71ae1482">
  <xsd:schema xmlns:xsd="http://www.w3.org/2001/XMLSchema" xmlns:xs="http://www.w3.org/2001/XMLSchema" xmlns:p="http://schemas.microsoft.com/office/2006/metadata/properties" xmlns:ns3="4e475b8f-6695-49c4-9bc4-fd56be7707c8" xmlns:ns4="e889b838-cce5-4580-bff8-928314909c1e" targetNamespace="http://schemas.microsoft.com/office/2006/metadata/properties" ma:root="true" ma:fieldsID="babcaacd6d82c11eedc0c134558f88ef" ns3:_="" ns4:_="">
    <xsd:import namespace="4e475b8f-6695-49c4-9bc4-fd56be7707c8"/>
    <xsd:import namespace="e889b838-cce5-4580-bff8-928314909c1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SearchProperties" minOccurs="0"/>
                <xsd:element ref="ns4:MediaServiceObjectDetectorVersions" minOccurs="0"/>
                <xsd:element ref="ns4:_activity" minOccurs="0"/>
                <xsd:element ref="ns4:MediaServiceDateTaken" minOccurs="0"/>
                <xsd:element ref="ns4:MediaServiceGenerationTime" minOccurs="0"/>
                <xsd:element ref="ns4:MediaServiceEventHashCode" minOccurs="0"/>
                <xsd:element ref="ns4:MediaServiceSystemTags"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75b8f-6695-49c4-9bc4-fd56be7707c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89b838-cce5-4580-bff8-928314909c1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_activity" ma:index="15" nillable="true" ma:displayName="_activity" ma:hidden="true" ma:internalName="_activity">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e889b838-cce5-4580-bff8-928314909c1e" xsi:nil="true"/>
  </documentManagement>
</p:properties>
</file>

<file path=customXml/itemProps1.xml><?xml version="1.0" encoding="utf-8"?>
<ds:datastoreItem xmlns:ds="http://schemas.openxmlformats.org/officeDocument/2006/customXml" ds:itemID="{753BE6A9-344E-44A5-A20D-23C7AD96EA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75b8f-6695-49c4-9bc4-fd56be7707c8"/>
    <ds:schemaRef ds:uri="e889b838-cce5-4580-bff8-928314909c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68F3F2-4B57-49A8-AE41-D11C75E760AA}">
  <ds:schemaRefs>
    <ds:schemaRef ds:uri="http://schemas.microsoft.com/sharepoint/v3/contenttype/forms"/>
  </ds:schemaRefs>
</ds:datastoreItem>
</file>

<file path=customXml/itemProps3.xml><?xml version="1.0" encoding="utf-8"?>
<ds:datastoreItem xmlns:ds="http://schemas.openxmlformats.org/officeDocument/2006/customXml" ds:itemID="{D23D6198-C2F2-4E2B-9D91-FB370849FAC7}">
  <ds:schemaRefs>
    <ds:schemaRef ds:uri="4e475b8f-6695-49c4-9bc4-fd56be7707c8"/>
    <ds:schemaRef ds:uri="http://schemas.microsoft.com/office/2006/documentManagement/types"/>
    <ds:schemaRef ds:uri="http://purl.org/dc/terms/"/>
    <ds:schemaRef ds:uri="http://purl.org/dc/dcmitype/"/>
    <ds:schemaRef ds:uri="http://schemas.microsoft.com/office/2006/metadata/properties"/>
    <ds:schemaRef ds:uri="http://purl.org/dc/elements/1.1/"/>
    <ds:schemaRef ds:uri="e889b838-cce5-4580-bff8-928314909c1e"/>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2</vt:i4>
      </vt:variant>
    </vt:vector>
  </HeadingPairs>
  <TitlesOfParts>
    <vt:vector size="16" baseType="lpstr">
      <vt:lpstr>INÍCIO</vt:lpstr>
      <vt:lpstr>Dados - Composição PCFP</vt:lpstr>
      <vt:lpstr>BDI</vt:lpstr>
      <vt:lpstr>Uniformes e EPIs</vt:lpstr>
      <vt:lpstr>Ferramentas</vt:lpstr>
      <vt:lpstr>Equipamentos</vt:lpstr>
      <vt:lpstr>Materiais</vt:lpstr>
      <vt:lpstr>Serviços sob Demanda</vt:lpstr>
      <vt:lpstr>PCFP</vt:lpstr>
      <vt:lpstr>Modelo de Proposta</vt:lpstr>
      <vt:lpstr>Planilha2</vt:lpstr>
      <vt:lpstr>STS-Republica</vt:lpstr>
      <vt:lpstr>Memória de Cálculos</vt:lpstr>
      <vt:lpstr>Nr Empregados e Produtividade</vt:lpstr>
      <vt:lpstr>'Modelo de Proposta'!_Ref172095982</vt:lpstr>
      <vt:lpstr>PCFP!Area_de_impressao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WIFI</dc:creator>
  <cp:keywords/>
  <dc:description/>
  <cp:lastModifiedBy>Marisa de Moraes</cp:lastModifiedBy>
  <cp:revision>23</cp:revision>
  <dcterms:created xsi:type="dcterms:W3CDTF">2015-04-07T17:28:10Z</dcterms:created>
  <dcterms:modified xsi:type="dcterms:W3CDTF">2025-04-08T20:01:28Z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0x010100381507E5F06F4242B81B45A3260E0E8C</vt:lpwstr>
  </property>
  <property fmtid="{D5CDD505-2E9C-101B-9397-08002B2CF9AE}" pid="3" name="_ip_UnifiedCompliancePolicyUIAction">
    <vt:lpwstr/>
  </property>
  <property fmtid="{D5CDD505-2E9C-101B-9397-08002B2CF9AE}" pid="4" name="_ip_UnifiedCompliancePolicyProperties">
    <vt:lpwstr/>
  </property>
  <property fmtid="{D5CDD505-2E9C-101B-9397-08002B2CF9AE}" pid="5" name="_activity">
    <vt:lpwstr/>
  </property>
</Properties>
</file>